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9150" firstSheet="4" activeTab="8"/>
  </bookViews>
  <sheets>
    <sheet name="1. Input - Water Balance" sheetId="1" r:id="rId1"/>
    <sheet name="4. External Indicators" sheetId="2" r:id="rId2"/>
    <sheet name="5. Project Office Questions" sheetId="3" r:id="rId3"/>
    <sheet name="6. Project Employees" sheetId="4" r:id="rId4"/>
    <sheet name="7. WUA" sheetId="5" r:id="rId5"/>
    <sheet name="8. Main Canal" sheetId="6" r:id="rId6"/>
    <sheet name="9. Second Level Canals" sheetId="7" r:id="rId7"/>
    <sheet name="10.  Third Level Canals" sheetId="8" r:id="rId8"/>
    <sheet name="11. Final deliveries" sheetId="9" r:id="rId9"/>
    <sheet name="12. Internal Indicators" sheetId="10" r:id="rId10"/>
    <sheet name="13. IPTRID Indicators" sheetId="11" r:id="rId11"/>
    <sheet name="14. World Bank BMTI Indicators" sheetId="12" r:id="rId12"/>
  </sheets>
  <definedNames>
    <definedName name="_xlnm.Print_Area" localSheetId="0">'1. Input - Water Balance'!$A$1:$O$299</definedName>
    <definedName name="_xlnm.Print_Area" localSheetId="8">'11. Final deliveries'!$A$1:$C$134</definedName>
    <definedName name="_xlnm.Print_Area" localSheetId="9">'12. Internal Indicators'!$A$1:$G$194</definedName>
    <definedName name="_xlnm.Print_Area" localSheetId="1">'4. External Indicators'!$A$1:$E$51</definedName>
    <definedName name="_xlnm.Print_Titles" localSheetId="7">'10.  Third Level Canals'!$1:$5</definedName>
    <definedName name="_xlnm.Print_Titles" localSheetId="8">'11. Final deliveries'!$1:$5</definedName>
    <definedName name="_xlnm.Print_Titles" localSheetId="9">'12. Internal Indicators'!$19:$19</definedName>
    <definedName name="_xlnm.Print_Titles" localSheetId="2">'5. Project Office Questions'!$1:$5</definedName>
    <definedName name="_xlnm.Print_Titles" localSheetId="3">'6. Project Employees'!$1:$5</definedName>
    <definedName name="_xlnm.Print_Titles" localSheetId="4">'7. WUA'!$1:$5</definedName>
    <definedName name="_xlnm.Print_Titles" localSheetId="5">'8. Main Canal'!$1:$5</definedName>
    <definedName name="_xlnm.Print_Titles" localSheetId="6">'9. Second Level Canals'!$1:$5</definedName>
  </definedNames>
  <calcPr fullCalcOnLoad="1"/>
</workbook>
</file>

<file path=xl/sharedStrings.xml><?xml version="1.0" encoding="utf-8"?>
<sst xmlns="http://schemas.openxmlformats.org/spreadsheetml/2006/main" count="2273" uniqueCount="1338">
  <si>
    <t>Computed index of visiting frequency (0-4)</t>
  </si>
  <si>
    <t>How frequently do supervisors physically visit this level of canal and talk with operators? (days)</t>
  </si>
  <si>
    <t>4 - Excellent - lines work all the time.</t>
  </si>
  <si>
    <t>3 - Very good.  Lines work at least 95% of the time</t>
  </si>
  <si>
    <t>2 - Poor at many of the sites.  However, there is a good line of communication within 30 minutes of travel by the operator</t>
  </si>
  <si>
    <t>0 - No direct line is available to the operators, but they are within 30 minutes travel time to some line.  However, even that line often does not work.</t>
  </si>
  <si>
    <t>1 - No direct line is available to operators, but they are within 30 minutes travel time to some line and that line of communication almost always works.</t>
  </si>
  <si>
    <t>4 - Excellent.  At all key points, feedback is provided at least every 2 hours.</t>
  </si>
  <si>
    <t>3 - Excellent coverage.  However, data are recorded continuously on-site and feedback is only once per day.</t>
  </si>
  <si>
    <t>2 - Data is recorded several times per day and stored on-site.  Feedback is once per week.</t>
  </si>
  <si>
    <t>1 - Only a few sites are covered.  Feedback occurs weekly.</t>
  </si>
  <si>
    <t>0 - Monthly or less frequent feedback of a few sites</t>
  </si>
  <si>
    <t>4 - Very good access for automobiles on at least one side in all but extreme weather.  Equipment access on the second side.</t>
  </si>
  <si>
    <t>3 - Good access for automobiles on at least one side in all but extreme weather.  Limited access in some areas on the second side.</t>
  </si>
  <si>
    <t>Professional employees that are temporary or contract - equivalent number</t>
  </si>
  <si>
    <t>Professional, permanent employees (college degrees and well-trained technicians)</t>
  </si>
  <si>
    <t xml:space="preserve">Non-professional, permanent employees </t>
  </si>
  <si>
    <t>Non-professional employees that are temporary or contract - equivalent number</t>
  </si>
  <si>
    <t>Total number of full time equivalent employees</t>
  </si>
  <si>
    <t>Average years a typical professional employee works for the project (anticipated)</t>
  </si>
  <si>
    <r>
      <t xml:space="preserve"> What is the visitor's estimate of the </t>
    </r>
    <r>
      <rPr>
        <u val="single"/>
        <sz val="9"/>
        <rFont val="Times New Roman"/>
        <family val="1"/>
      </rPr>
      <t>adequacy</t>
    </r>
    <r>
      <rPr>
        <sz val="9"/>
        <rFont val="Times New Roman"/>
        <family val="1"/>
      </rPr>
      <t xml:space="preserve"> (%) of the actual dollars and in-kind services that is available (from all sources) to sustain adequate Operation and Maintenance (O&amp;M) with the present mode of operation? (Answer =[Available funds]/[Needed Funds] * 100), </t>
    </r>
    <r>
      <rPr>
        <sz val="11"/>
        <rFont val="Times New Roman"/>
        <family val="1"/>
      </rPr>
      <t>%</t>
    </r>
  </si>
  <si>
    <t>Sums of farmer orders (Yes/No)</t>
  </si>
  <si>
    <t>Observation of general conditions  (Yes/No)</t>
  </si>
  <si>
    <t>Standard pre-determined schedule with slight modifications (Yes/No)</t>
  </si>
  <si>
    <t>Standard pre-determined schedule with no modifications  (Yes/No)</t>
  </si>
  <si>
    <t>4 - Very effective usage.  Real time control of all key structures with meaningful results</t>
  </si>
  <si>
    <t>1 - Volume is unknown, and deliveries are fairly unreliable - but less than 50% of the time.</t>
  </si>
  <si>
    <r>
      <t xml:space="preserve">This sheet must be completed after visiting all levels of the project.  The answers only refer to </t>
    </r>
    <r>
      <rPr>
        <b/>
        <u val="single"/>
        <sz val="12"/>
        <rFont val="Times New Roman"/>
        <family val="1"/>
      </rPr>
      <t>paid</t>
    </r>
    <r>
      <rPr>
        <sz val="12"/>
        <rFont val="Times New Roman"/>
        <family val="1"/>
      </rPr>
      <t xml:space="preserve"> employees.  </t>
    </r>
  </si>
  <si>
    <t>4 - it is easy to fire or lay off employees.  There is a short process.  Employees are aware of this and know of other employees being fired or laid off when it was necessary.</t>
  </si>
  <si>
    <t>3 - Good.  The canal appears to be functional, but it does not look very neat.</t>
  </si>
  <si>
    <t>2 - Routine maintenance is not good enough to prevent some decrease in performance of the canal.</t>
  </si>
  <si>
    <t>1 - Decreased performance is evident in at least 30% of the canal.</t>
  </si>
  <si>
    <t>Ground water pumped from the Aquifer, But which remains outside the Command Area</t>
  </si>
  <si>
    <t xml:space="preserve">      Your previous est. of the convey. effic. of internal project well water (%):</t>
  </si>
  <si>
    <t>Estimated conveyance efficiency for external water</t>
  </si>
  <si>
    <t xml:space="preserve">      Your previous estimate of conveyance efficiency of external water (%):</t>
  </si>
  <si>
    <t>Ground water pumped outside the Command Area and then brought into the command area.</t>
  </si>
  <si>
    <t xml:space="preserve">        Estimated surface water imports that deep percolate due to conveyance seepage</t>
  </si>
  <si>
    <t>C.  Estimate of pumped groundwater that is used for ET or special practices in the command area:</t>
  </si>
  <si>
    <t>D.  Recharge from surface canal water that originated outside the boundaries</t>
  </si>
  <si>
    <t>E.  Difference (C - D).   If the value &gt; 0.0, the aquifer is considered as an external water source</t>
  </si>
  <si>
    <t>Rough estimate of Net Aquifer Contribution as an external source:</t>
  </si>
  <si>
    <t xml:space="preserve">        Estimated surface water imports that deep percolate on-farm</t>
  </si>
  <si>
    <t>Estimated seepage (deep perc.) for paddy rice</t>
  </si>
  <si>
    <t xml:space="preserve">                                         Your estimate of the % of external water that deep percolates during conveyance:</t>
  </si>
  <si>
    <t xml:space="preserve">                                         **Note: your deep percolation estimate cannot exceed:</t>
  </si>
  <si>
    <t xml:space="preserve">                                         Your estimate of the % of delivered water that deep percolates on-farm:</t>
  </si>
  <si>
    <t xml:space="preserve">      **This does NOT include an Umbrella WUA - its budgets should be included in the earlier Project Office Questionnaire worksheet**</t>
  </si>
  <si>
    <t>Funds sent away to the project offices or government</t>
  </si>
  <si>
    <t>Administration (including salaries and external contracts)</t>
  </si>
  <si>
    <t>Fees from Farmers</t>
  </si>
  <si>
    <t>Administration and other (including salaries and external contracts) - local currency/yr</t>
  </si>
  <si>
    <t>Total annual budget - sum of previous 5 items (Local currency/year)</t>
  </si>
  <si>
    <t>Overall conveyance efficiency of project authority delivered water</t>
  </si>
  <si>
    <t>Staff per unit area (Persons/ha)</t>
  </si>
  <si>
    <t>Staff persons per unit irrigated area (Persons/ha)</t>
  </si>
  <si>
    <t>Are operators encouraged to think and act on their own?(10=Definitely yes; 1=No)</t>
  </si>
  <si>
    <r>
      <t xml:space="preserve">ACTUAL Service that the </t>
    </r>
    <r>
      <rPr>
        <b/>
        <i/>
        <u val="single"/>
        <sz val="14"/>
        <rFont val="Times New Roman"/>
        <family val="1"/>
      </rPr>
      <t>Main Canal</t>
    </r>
    <r>
      <rPr>
        <b/>
        <i/>
        <u val="single"/>
        <sz val="9"/>
        <rFont val="Times New Roman"/>
        <family val="1"/>
      </rPr>
      <t xml:space="preserve"> Provides to its Subcanals</t>
    </r>
  </si>
  <si>
    <t xml:space="preserve">Computed index regarding water level fluctuation (0-4) </t>
  </si>
  <si>
    <t xml:space="preserve">Computed index regarding the travel time of a flow rate change throughout this canal level (0-4) </t>
  </si>
  <si>
    <t>4 - No problems passing the maximum desired flow rates.</t>
  </si>
  <si>
    <t>2 - Minor problems</t>
  </si>
  <si>
    <t>0 - Serious problems - many structures are under-designed.</t>
  </si>
  <si>
    <t>4 - Very easy to operate.  Hardware moves easily and quickly, or hardware has automatic features that work well.  Water levels or flows could be controlled easily if desired.  Current targets can be met with less than 2 manual changes per day.</t>
  </si>
  <si>
    <t>4 - Very easy to operate.  Hardware moves easily and quickly, or hardware has automatic features that work well.  Water divisions or flows could be controlled easily if desired.  Current targets can be met with less than 2 manual changes per day.</t>
  </si>
  <si>
    <t xml:space="preserve">3 - Easy and quick to physically operate.  Flow rate or target measurement devices are reasonable but not excellent. </t>
  </si>
  <si>
    <t>2 - Cumbersome to operate, but physically possible.  Flow rate measurement devices or techniques appear to be poor, along with poor calibration.</t>
  </si>
  <si>
    <t>1 - Cumbersome, difficult, or dangerous to operate, and in some cases almost physically impossible to meet objectives.</t>
  </si>
  <si>
    <t>4 - Properly located and of sufficient quantity.</t>
  </si>
  <si>
    <t>0 - None.</t>
  </si>
  <si>
    <t>2 - There is 1 regulating reservoir but more are needed or the location is wrong.</t>
  </si>
  <si>
    <t>2 - They are used, but well below their potential.</t>
  </si>
  <si>
    <t>2 - Helpful, but not large enough.</t>
  </si>
  <si>
    <t>2 - Not too good.</t>
  </si>
  <si>
    <t>General level of maintenance of the canal floor and canal banks (assign a value of 0-4)</t>
  </si>
  <si>
    <t>Availability of proper equipment and staff to adequately maintain this canal (0-4)</t>
  </si>
  <si>
    <r>
      <t xml:space="preserve">Percent, % of </t>
    </r>
    <r>
      <rPr>
        <b/>
        <sz val="12"/>
        <rFont val="Times New Roman"/>
        <family val="1"/>
      </rPr>
      <t>irrigation water</t>
    </r>
    <r>
      <rPr>
        <b/>
        <sz val="12"/>
        <rFont val="Times New Roman"/>
        <family val="0"/>
      </rPr>
      <t xml:space="preserve"> delivered to fields (averaged over the irrigation season)</t>
    </r>
  </si>
  <si>
    <t xml:space="preserve">         A.  The gross millimeters of precipitation per month.</t>
  </si>
  <si>
    <t>*  "RAP 9" refers to a Data Item that was collected or computed in Worksheet 4.External Indicators, but was not specified by IPTRID; however, that value is needed for the IPTRID computations</t>
  </si>
  <si>
    <r>
      <t>Field Irrigation Efficiency</t>
    </r>
    <r>
      <rPr>
        <sz val="14"/>
        <rFont val="Arial"/>
        <family val="2"/>
      </rPr>
      <t xml:space="preserve"> (computed) =      [Crop ET-Effective ppt + LR water]/[Total Water Delivered to Users] x 100</t>
    </r>
  </si>
  <si>
    <t>0 - Almost no adequate and working maintenance equipment is available, nor is there good mobilization of people.</t>
  </si>
  <si>
    <t>Type of cross regulator (describe)</t>
  </si>
  <si>
    <t>Do operators live at each cross regulator site?  (Yes/No)</t>
  </si>
  <si>
    <t>If the operators make their own decisions, how good are their decisions (10=Excellent, 1=Horrible)</t>
  </si>
  <si>
    <t>Ease of cross regulator operation under the current target operation.  This does not mean that the current targets are being met. Rather, this rating indicates how easy or difficult it would be to move the cross regulators to meet the targets.  Assign a value of 0-4 based on the descriptions below</t>
  </si>
  <si>
    <t>Travel time from the maintenance yard to the most distant point along this canal (for crews and maintenance equipment)</t>
  </si>
  <si>
    <t>Operation of the Main Canal</t>
  </si>
  <si>
    <t>How frequently does the headworks respond to realistic real time feedback from the operators/observers of this canal level? This question deals with a mismatch of orders, and problems associated with wedge storage variations and wave travel times.</t>
  </si>
  <si>
    <t>MAIN CANAL</t>
  </si>
  <si>
    <t>SERVICE and SOCIAL ORDER</t>
  </si>
  <si>
    <t>2 - Underfinanced, but not badly.  Conditions are poor but are maintained and replaced well enough to be functional.  No modernization improvements are made.</t>
  </si>
  <si>
    <t>Actual ability of the strong Water User Associations to influence real-time water deliveries to the WUA.  (Note:  This only applies to the strong WUAs.  If there are no strong WUAs in the project, the answer is "0".)</t>
  </si>
  <si>
    <t>Ability of the WUA to rely on effective outside help for enforcement of its rules  (Note:   If there are no WUAs in the project, the answer is "0".)</t>
  </si>
  <si>
    <t>4 - No problem.  Just call up local authorities.  The local authorities come out right away and effectively prosecute wrong-doers.</t>
  </si>
  <si>
    <t>3 - The local authorities will come and are moderately successful with prosecutions.  Corruption is not a problem.</t>
  </si>
  <si>
    <t>2 - Sometimes, for very serious cases, the authorities will come.  But they are not very effective or helpful.</t>
  </si>
  <si>
    <t>1 - Although some enabling laws have been written by the government, it is up to the WUA to enforce those laws.  There is no help with enforcement from outside the WUA.</t>
  </si>
  <si>
    <t>0 - There are no enabling laws, and no outside assistance with enforcement.  Everything depends on the WUA.</t>
  </si>
  <si>
    <t>Legal basis for the WUAs  (Note:   If there are no WUAs in the project, the answer is "0".)</t>
  </si>
  <si>
    <t>4 - WUAs are recognized and formed under law.  They have legal powers to tax, hold money, dismiss employees, condemn land, and own structures.  The law is real and the enabling legislation is upheld in courts.</t>
  </si>
  <si>
    <t>3 - The WUAs are recognized by law.  There is good judicial backup.  However, the powers are limited.  The government still holds most of the power that could belong to the WUA.</t>
  </si>
  <si>
    <t>Do the project authorities limit the acreage that can be planted to various crops? (Yes/No)</t>
  </si>
  <si>
    <t>Predicted by computer program? (Yes/No)</t>
  </si>
  <si>
    <t>Do the individual WUAs also belong to a larger, project-level WUA? (Yes/No)</t>
  </si>
  <si>
    <t>If so, does the larger, project-level WUA operate the main canals?  (Yes/No)</t>
  </si>
  <si>
    <t>1.  Main dam discharge flows (Yes/No)</t>
  </si>
  <si>
    <t>2.  Cross regulator positions (Yes/No)</t>
  </si>
  <si>
    <t>3.  Water levels in the canals (Yes/No)</t>
  </si>
  <si>
    <t>4.  Flow rates at all offtakes? (Yes/No)</t>
  </si>
  <si>
    <r>
      <t>Based on the</t>
    </r>
    <r>
      <rPr>
        <i/>
        <u val="single"/>
        <sz val="9"/>
        <rFont val="Times New Roman"/>
        <family val="1"/>
      </rPr>
      <t xml:space="preserve"> later observations</t>
    </r>
    <r>
      <rPr>
        <u val="single"/>
        <sz val="9"/>
        <rFont val="Times New Roman"/>
        <family val="1"/>
      </rPr>
      <t>, describe the extent to which computers (either central or on-site) are used for canal control (assign a value of 0-4</t>
    </r>
    <r>
      <rPr>
        <sz val="9"/>
        <rFont val="Times New Roman"/>
        <family val="1"/>
      </rPr>
      <t>)</t>
    </r>
  </si>
  <si>
    <t>Index of the relative salary of an operator compared to a day laborer (computed value)</t>
  </si>
  <si>
    <t>Elected by all farmers (1 vote/farmer) - Yes/No</t>
  </si>
  <si>
    <t>Elected by all farmers, but votes are weighted by farm size - Yes/No</t>
  </si>
  <si>
    <t>Appointed - Yes/No</t>
  </si>
  <si>
    <t>Is a government employee on the Board - Yes/No</t>
  </si>
  <si>
    <t>Sources of WUA Budgets (average over the last 5 years), Percentage from each source</t>
  </si>
  <si>
    <t>Non-prof. - canal operators, (Local currency/year)</t>
  </si>
  <si>
    <t>Salaries - include bonus and the equivalent costs of houses and other benefits provided.</t>
  </si>
  <si>
    <t>Basis of water charge and amount of the charge</t>
  </si>
  <si>
    <t>If by area, (Local currency)/hectare/year</t>
  </si>
  <si>
    <t>If by crop, the maximum rate in (Local currency)/crop/year   (not per season)</t>
  </si>
  <si>
    <t>a.  The volume delivered to each farmer, each irrigation, is measured</t>
  </si>
  <si>
    <t>b.  The volume is estimated based on total volume applied to an area of many farms</t>
  </si>
  <si>
    <t>Maintenance (including salaries and external contracts)</t>
  </si>
  <si>
    <t>Other Operation (including salaries and external contracts)</t>
  </si>
  <si>
    <t>Maintenance (including salaries and external contracts) - local currency/yr</t>
  </si>
  <si>
    <t>Rehabilitation (including salaries and external contracts) - local currency/yr</t>
  </si>
  <si>
    <t>Other Operation (including salaries and external contracts) - local currency/yr</t>
  </si>
  <si>
    <t>Sum of all Annual WUA Budgets (average over the last 5 years) - Local currency/yr</t>
  </si>
  <si>
    <t>The question below will require knowledge of the budget, as well as a qualitative assessment of project activities that are seen in the field.</t>
  </si>
  <si>
    <t>Provide an answer to the most applicable of the 2 questions below:</t>
  </si>
  <si>
    <t>1.  What is the volume of gross irrigation water officially allocated to the project, per year, mcm</t>
  </si>
  <si>
    <t>Calculated Indicator of the  modernization budget (automatic computation)</t>
  </si>
  <si>
    <t>Does the project make an annual estimate of total deliveries? (Yes/No)</t>
  </si>
  <si>
    <t>Is there a fixed advance official schedule of deliveries for the year? (Yes/No)</t>
  </si>
  <si>
    <t>Does the project tell farmers what crops to plant? (Yes/No)</t>
  </si>
  <si>
    <t>1 - Between 6 and 10% of structures are vandalized.</t>
  </si>
  <si>
    <t>0 - More than 10% of structures are vandalized.</t>
  </si>
  <si>
    <t>Social "Order" in the Canal System operated by paid employees</t>
  </si>
  <si>
    <t>Cross regulator hardware (Main Canal)</t>
  </si>
  <si>
    <t>I-8</t>
  </si>
  <si>
    <t>I-8A</t>
  </si>
  <si>
    <t>I-8B</t>
  </si>
  <si>
    <t>I-8C</t>
  </si>
  <si>
    <t>I-8D</t>
  </si>
  <si>
    <t>I-9</t>
  </si>
  <si>
    <t>I-9A</t>
  </si>
  <si>
    <t>I-9B</t>
  </si>
  <si>
    <t>I-9C</t>
  </si>
  <si>
    <t>I-l0</t>
  </si>
  <si>
    <t>I-10A</t>
  </si>
  <si>
    <t>I-10B</t>
  </si>
  <si>
    <t>I-10C</t>
  </si>
  <si>
    <t>I-10D</t>
  </si>
  <si>
    <t>I-10E</t>
  </si>
  <si>
    <t>Ease of cross regulator operation under the current target operation.  This does not mean that the current targets are being met; rather this rating indicates how easy or difficult it would be to move the cross regulators to meet the targets.</t>
  </si>
  <si>
    <t>Level of maintenance of the cross regulators.</t>
  </si>
  <si>
    <t xml:space="preserve">Lack of water level fluctuation </t>
  </si>
  <si>
    <t>Old Indicator Label (FAO Water Reports 19)</t>
  </si>
  <si>
    <t>I-1A</t>
  </si>
  <si>
    <t>2 - There is an evaluation, but no detailed job description, nor is there a description of evaluation procedures.</t>
  </si>
  <si>
    <t>1 - There is a written job description, but no meaningful evaluation procedure.</t>
  </si>
  <si>
    <t>0 -  No written job description, and no formal evaluation procedure.</t>
  </si>
  <si>
    <t>Power of employees to make decisions</t>
  </si>
  <si>
    <t>3 - Employees are not officially encouraged to think and act on their own, but they do it anyway in a positive manner.</t>
  </si>
  <si>
    <t>4 - Employees are oficially encouraged to think and act on their own, and they do it in a positive manner.</t>
  </si>
  <si>
    <t>2 - Employees are encouraged to think and act on their own, but they do not seem to have much initiative.</t>
  </si>
  <si>
    <t>0 - There are none, or they are so small that they give almost no benefit.</t>
  </si>
  <si>
    <t>1.  This spreadsheet only applies to INTERNAL indicators.  A separate spreadsheet is used for EXTERNAL indicators such as Irrigation Efficiency and Relative Water Supply.</t>
  </si>
  <si>
    <t>Points for understanding this Indicator Summary</t>
  </si>
  <si>
    <t>a.  The alpha-numeric label for each indicator is found in Column A</t>
  </si>
  <si>
    <t>b.  The Primary Indicator name is given in Column B</t>
  </si>
  <si>
    <t>Indicator Label</t>
  </si>
  <si>
    <t>Primary Indicator Name</t>
  </si>
  <si>
    <t>Sub-Indicator Name</t>
  </si>
  <si>
    <t>Weighting Factor</t>
  </si>
  <si>
    <t>I-1</t>
  </si>
  <si>
    <t>Worksheet Location</t>
  </si>
  <si>
    <t>Final deliveries</t>
  </si>
  <si>
    <t>Reliability to the individual units (0-4)</t>
  </si>
  <si>
    <t>Actual Service received by individual units (field or farms).</t>
  </si>
  <si>
    <t>Measurement of volumes to the individual units (0-4)</t>
  </si>
  <si>
    <t>Flexibility to the individual units (0-4)</t>
  </si>
  <si>
    <t>Apparent Equity to individual units (0-4)</t>
  </si>
  <si>
    <t>Stated Water Delivery Service received by individual units (fields or farms).</t>
  </si>
  <si>
    <t>Apparent Equity  (0-4)</t>
  </si>
  <si>
    <t>Flexibility to the individual units  (0-4)</t>
  </si>
  <si>
    <r>
      <t xml:space="preserve">Total </t>
    </r>
    <r>
      <rPr>
        <u val="single"/>
        <sz val="10"/>
        <rFont val="Arial"/>
        <family val="2"/>
      </rPr>
      <t>MOM cost</t>
    </r>
    <r>
      <rPr>
        <sz val="10"/>
        <rFont val="Arial"/>
        <family val="0"/>
      </rPr>
      <t xml:space="preserve"> per cubic meter of irrigation water delivered to water users by the project authorities  (US$/m</t>
    </r>
    <r>
      <rPr>
        <vertAlign val="superscript"/>
        <sz val="10"/>
        <rFont val="Arial"/>
        <family val="2"/>
      </rPr>
      <t>3</t>
    </r>
    <r>
      <rPr>
        <sz val="10"/>
        <rFont val="Arial"/>
        <family val="0"/>
      </rPr>
      <t>)</t>
    </r>
  </si>
  <si>
    <r>
      <t xml:space="preserve">Average </t>
    </r>
    <r>
      <rPr>
        <u val="single"/>
        <sz val="10"/>
        <rFont val="Arial"/>
        <family val="2"/>
      </rPr>
      <t>revenue</t>
    </r>
    <r>
      <rPr>
        <sz val="10"/>
        <rFont val="Arial"/>
        <family val="0"/>
      </rPr>
      <t xml:space="preserve"> per cubic meter of irrigation water delivered to water users by the project authorities (US$/m</t>
    </r>
    <r>
      <rPr>
        <vertAlign val="superscript"/>
        <sz val="10"/>
        <rFont val="Arial"/>
        <family val="2"/>
      </rPr>
      <t>3</t>
    </r>
    <r>
      <rPr>
        <sz val="10"/>
        <rFont val="Arial"/>
        <family val="0"/>
      </rPr>
      <t>)</t>
    </r>
  </si>
  <si>
    <t>Total annual volume of field ET in irrigated fields (MCM)</t>
  </si>
  <si>
    <t>Peak net irrigation water requirement (CMS)</t>
  </si>
  <si>
    <t>Total command area of the system (ha)</t>
  </si>
  <si>
    <t>Irrigated area, including multiple cropping (ha)</t>
  </si>
  <si>
    <t>Conveyance efficiency of project-delivered water, % (weighted for internal and external, using values stated by project authorities)</t>
  </si>
  <si>
    <r>
      <t>Output per unit of field ET (US$/m</t>
    </r>
    <r>
      <rPr>
        <vertAlign val="superscript"/>
        <sz val="10"/>
        <rFont val="Arial"/>
        <family val="2"/>
      </rPr>
      <t>3</t>
    </r>
    <r>
      <rPr>
        <sz val="10"/>
        <rFont val="Arial"/>
        <family val="0"/>
      </rPr>
      <t>)</t>
    </r>
  </si>
  <si>
    <t>Percentage of a typical canal cross section that is filled with silt</t>
  </si>
  <si>
    <t>Total number of spill points for a typical main canal</t>
  </si>
  <si>
    <t>Number of fields downstream of this point</t>
  </si>
  <si>
    <t>Point of Management Change (downstream of which the Paid Employees do not operate turnouts)</t>
  </si>
  <si>
    <t>Number of fields downstream of this point (select from below, 0-4)</t>
  </si>
  <si>
    <t>Measurement of volumes delivered at this point (0-4)</t>
  </si>
  <si>
    <t>Flexibility (0-4)</t>
  </si>
  <si>
    <t>Reliability (0-4)</t>
  </si>
  <si>
    <t>Apparent Equity (0-4)</t>
  </si>
  <si>
    <t>General condition of final conveyance (10=Excellent, 1=Horrible)</t>
  </si>
  <si>
    <t>Ability to measure flow rate to individual fields/farm (10=Excellent, 1=Horrible)</t>
  </si>
  <si>
    <t>Ability to measure volume to individual fields/farm (10=Excellent, 1=Horrible)</t>
  </si>
  <si>
    <t>How closely are they followed? (10=Excellent, 1=Horrible)</t>
  </si>
  <si>
    <t>Are actual practices better than official policies?(10=Yes, 1=No)</t>
  </si>
  <si>
    <t>Sense of lack of conflict between users (10=no conflicts, 1=huge problems)</t>
  </si>
  <si>
    <t>Sense of lack of conflict between users and the government/project (10=no conflicts, 1=huge problems)</t>
  </si>
  <si>
    <t>Ability to convert to modern field irrigation systems (10=easy; 1=almost impossible with the level of service provided)</t>
  </si>
  <si>
    <t>0 - None, or very bad siltation and weed growth so that the effectiveness is reduced.</t>
  </si>
  <si>
    <t>0 - There are none, they are not used, or are used incorrectly.</t>
  </si>
  <si>
    <t>4 - No changes needed;  3.5 - Only need to repair some of the existing structures so that they are workable again.;  3.0 - Improved communications, repair of some existing structures, and a few key new structures (less than US$300/ha needed), OR…very little change to existing, but new structures are needed for water recirculation;  2 - Larger capital expenditures - $US 300 - $US 600/ha;  1 - Larger capital expenditures needed (up to $US 1500/ha); 0 - Almost complete reworking of the system is needed</t>
  </si>
  <si>
    <t>Changes required to be able to support pressurized irrigation methods</t>
  </si>
  <si>
    <t xml:space="preserve">Sophistication in receiving and using feedback information.  This does not need to be automatic. </t>
  </si>
  <si>
    <t>n/a</t>
  </si>
  <si>
    <t>4 - Continuous feedback and continuous use of information to change inflows, with all key points monitored.  Or, minimal feed back is necessary, such as with closed pipe systems.;    3 - Feedback several times a day and rapid use (within a few hours) of that information, at major points.;    2 - Feedback once/day from key points and appropriate use of information within a day;   1 - Weekly feedback and appropriate usage, or once/day feeback but poor usage of the information;   0 - No meaningful feedback, or else there is a lot of feedback but no usage.</t>
  </si>
  <si>
    <r>
      <t xml:space="preserve">General lack of </t>
    </r>
    <r>
      <rPr>
        <u val="single"/>
        <sz val="9"/>
        <rFont val="Times New Roman"/>
        <family val="1"/>
      </rPr>
      <t>undesired</t>
    </r>
    <r>
      <rPr>
        <sz val="9"/>
        <rFont val="Times New Roman"/>
        <family val="1"/>
      </rPr>
      <t xml:space="preserve"> seepage (note:  if deliberate conjunctive use is practiced, some seepage may be desired).</t>
    </r>
  </si>
  <si>
    <t>Confidence Interval (CI)</t>
  </si>
  <si>
    <t>Total external irrigation supply for the project</t>
  </si>
  <si>
    <t>Paddy Rice #2</t>
  </si>
  <si>
    <t>MCM of ET for each irrigated field in the command area during the growing season, only</t>
  </si>
  <si>
    <t>Paddy Rice #3</t>
  </si>
  <si>
    <t>Crop Desc.</t>
  </si>
  <si>
    <t>Total</t>
  </si>
  <si>
    <t>Table 2  -  Monthly ETo values</t>
  </si>
  <si>
    <t>Month --&gt;</t>
  </si>
  <si>
    <t>Annual</t>
  </si>
  <si>
    <t>Monthly ET Totals, MCM</t>
  </si>
  <si>
    <t>Monthly ETo, mm.  --&gt;</t>
  </si>
  <si>
    <t>Monthly Effective Ppt Totals, MCM</t>
  </si>
  <si>
    <t>Monthly ET - Eff Rain, MCM</t>
  </si>
  <si>
    <t>Irrigation Water Entering from outside the command area through regular canals.  The MCM should be the total MCM at the original diversion point.</t>
  </si>
  <si>
    <t>Other Irrigation water inflows to Command Area from External Source #3 (Define below)</t>
  </si>
  <si>
    <t>Total Surface Irrigation Water Sources</t>
  </si>
  <si>
    <t>Define the External Sources of Irrigation Surface Water</t>
  </si>
  <si>
    <t>External Source #2:</t>
  </si>
  <si>
    <t>External Source #3:</t>
  </si>
  <si>
    <t xml:space="preserve">         C.  For each crop, an estimate of the millimeters of deep percolation of precipitation beyond the root zone, by month.</t>
  </si>
  <si>
    <t>Other Irrigation water inflows to Command Area from External Source #2 (Define below)</t>
  </si>
  <si>
    <t>Internal Indicators for Main Canal Cross Regulator Hardware</t>
  </si>
  <si>
    <t>Do incentives exist for average work?(10=high, 1=none)</t>
  </si>
  <si>
    <t>What is the option for firing an operator? (describe)</t>
  </si>
  <si>
    <t>2 - Rough but accessible road on one side of the canal.  No access on the second side.</t>
  </si>
  <si>
    <t>Percentage of the offtake flows that are taken from unofficial offtakes</t>
  </si>
  <si>
    <t>How well can the offtakes be supplied when the canal flow rates are low?  (10=Excellent, 1=Horrible)</t>
  </si>
  <si>
    <t xml:space="preserve"> Regulating Reservoir Indicators (Main Canal)</t>
  </si>
  <si>
    <t>Turnout Indicators (Main Canal)</t>
  </si>
  <si>
    <t>Ease of turnout (to the next lower level) operation under the current target operation.  This does not mean that the current targets are being met; rather this rating indicates how easy or difficult it would be to move the turnouts and measure flows to meet the targets.  Assign a value of 0-4 based on the descriptions below</t>
  </si>
  <si>
    <t>4 - Operators of the next lower level know the flows and receive the flows within a few hours of the targeted time.  There are no shortages during the year.</t>
  </si>
  <si>
    <t>3 - Operators of the next lower level know the flows, but may have to wait as long as a day to obtain the flows they need.  Only a few shortages throughout the year.</t>
  </si>
  <si>
    <t>Control of flows to customers of the next lower level - Choose a value from 0-4, based on the scale below:</t>
  </si>
  <si>
    <t>Ease of cross regulator operation under the current target operation.  This does not mean that the current targets are being met. Rather, this rating indicates how easy or difficult it would be to move the cross regulators to meet the targets.  Assign a v</t>
  </si>
  <si>
    <t xml:space="preserve">Maximum unintended weekly fluctuation of target water levels in the canal, expressed as a percentage of the average water level drop across a turnout.  For example, if the water level in the canal varies by 40 cm (highest to lowest level at a point), and </t>
  </si>
  <si>
    <t>Ease of turnout (to the next lower level) operation under the current target operation.  This does not mean that the current targets are being met; rather this rating indicates how easy or difficult it would be to move the turnouts and measure flows to me</t>
  </si>
  <si>
    <t>Third Level Canal</t>
  </si>
  <si>
    <t>1 - The flows arrive plus or minus 4 days, but are incorrect.  Perhaps 7 weeks of some shortage throughout the year.</t>
  </si>
  <si>
    <t>0 - Unreliable frequency, rate, and duration more than 50% of the time and the volume is unknown.</t>
  </si>
  <si>
    <t xml:space="preserve">Reliability Index - Choose a value from 0-4, based on the scale below: </t>
  </si>
  <si>
    <t xml:space="preserve">Flexibility Index - Choose a value from 0-4, based on the scale below: </t>
  </si>
  <si>
    <t>Equity Index - Choose a value from 0-4, based on the scale below:</t>
  </si>
  <si>
    <t>4 - Points along the canal enjoy the same level of good service</t>
  </si>
  <si>
    <t>2 -   15% of the canal turnouts receive significantly poorer service than the average.</t>
  </si>
  <si>
    <t>3 -   5% of the canal turnouts receive significantly poorer service than the average</t>
  </si>
  <si>
    <t>1 - 25% of the canal turnouts receive singificantly poorer service than the average.</t>
  </si>
  <si>
    <t>0 -   Worse than 25%, or there may not even be any consistent pattern.</t>
  </si>
  <si>
    <t>4 - Flows are known and controlled within 5%</t>
  </si>
  <si>
    <t>3 - Flows are known and are controlled within 10%</t>
  </si>
  <si>
    <t>2 -  Flows are not known but are controlled within 10%</t>
  </si>
  <si>
    <t>1 - Flows are controlled within 20%</t>
  </si>
  <si>
    <t>0 - Flows have more variation than 20%</t>
  </si>
  <si>
    <t>("non-canal" water could have originated from canals, but the volumes below are pumped or diverted from rivers, drains, lakes, etc.)</t>
  </si>
  <si>
    <t>Direct Farmer Usage of non-canal Water Inside the Command Area.</t>
  </si>
  <si>
    <t>Project Authority Use of non-canal Surface Water Inside Command Area.</t>
  </si>
  <si>
    <t>Recirculation inside Command Area</t>
  </si>
  <si>
    <t xml:space="preserve">3.  Some of the indicator values on this worksheet must be assigned by the user. </t>
  </si>
  <si>
    <t>4.  The organization of this worksheet is as follows:</t>
  </si>
  <si>
    <t>DI 22</t>
  </si>
  <si>
    <t>DI26</t>
  </si>
  <si>
    <t>Annual relative water supply ***does not include rice deep perc.***</t>
  </si>
  <si>
    <t>Annual relative irrigation supply ***does not include rice deep perc.***</t>
  </si>
  <si>
    <t>Water delivery capacity</t>
  </si>
  <si>
    <t>Cost recovery ratio</t>
  </si>
  <si>
    <t>Maintenance cost to revenue ratio</t>
  </si>
  <si>
    <t>Total MOM cost per unit area (US$/ha)</t>
  </si>
  <si>
    <t>Revenue collection performance</t>
  </si>
  <si>
    <t>Total annual value of agricultural production (US$)</t>
  </si>
  <si>
    <r>
      <t>Output per unit water consumed (US$/m</t>
    </r>
    <r>
      <rPr>
        <vertAlign val="superscript"/>
        <sz val="12"/>
        <rFont val="New Century Schlbk"/>
        <family val="0"/>
      </rPr>
      <t>3</t>
    </r>
    <r>
      <rPr>
        <sz val="10"/>
        <rFont val="Arial"/>
        <family val="0"/>
      </rPr>
      <t>)</t>
    </r>
  </si>
  <si>
    <t>sum of weighting factors</t>
  </si>
  <si>
    <t>Are there written rules in the WUA regarding proper behavior of farmers and employees?</t>
  </si>
  <si>
    <t>Main Canal Cross Regulator Personnel</t>
  </si>
  <si>
    <t>Main Canal Cross Regulators</t>
  </si>
  <si>
    <t>Third Level Canals</t>
  </si>
  <si>
    <t>Control of Flows Into Third Level Canals</t>
  </si>
  <si>
    <t>Third Level Canal Characteristics</t>
  </si>
  <si>
    <t>Third Level Canal Communications/Transportation</t>
  </si>
  <si>
    <t>Third Level Canal Off-Takes (Turnouts)</t>
  </si>
  <si>
    <t>Scheduling of Flows From Third Level Canal Offtakes</t>
  </si>
  <si>
    <t>Control of Flows From Third Level Canal Offtakes</t>
  </si>
  <si>
    <t>No one (%)</t>
  </si>
  <si>
    <t>Final Water Distribution to Individual Ownership Units (e.g., field or farm)</t>
  </si>
  <si>
    <t>If farmers must cooperate, how many farmers must cooperate to make the final distribution of water to fields?</t>
  </si>
  <si>
    <t>What percentage of the final distribution is done through:</t>
  </si>
  <si>
    <t>Small unlined distributary canals (%)</t>
  </si>
  <si>
    <t>Larger unlined canals (%)</t>
  </si>
  <si>
    <t>Field-through-field conveyance (%)</t>
  </si>
  <si>
    <t>Pipelines (%)</t>
  </si>
  <si>
    <t>Lined canals (%)</t>
  </si>
  <si>
    <t>What percentage of the time do farmers actually receive water as:?</t>
  </si>
  <si>
    <r>
      <t xml:space="preserve">The Groundwater data below should be provided </t>
    </r>
    <r>
      <rPr>
        <b/>
        <i/>
        <u val="single"/>
        <sz val="20"/>
        <rFont val="Times New Roman"/>
        <family val="1"/>
      </rPr>
      <t>only</t>
    </r>
    <r>
      <rPr>
        <b/>
        <i/>
        <sz val="20"/>
        <rFont val="Times New Roman"/>
        <family val="1"/>
      </rPr>
      <t xml:space="preserve"> </t>
    </r>
    <r>
      <rPr>
        <b/>
        <i/>
        <sz val="16"/>
        <rFont val="Times New Roman"/>
        <family val="1"/>
      </rPr>
      <t>if wells are used within the project area.</t>
    </r>
  </si>
  <si>
    <t>Including special practices</t>
  </si>
  <si>
    <t>Not including salinity control</t>
  </si>
  <si>
    <t>Maximum Monthly Value, MCM:</t>
  </si>
  <si>
    <t>Examine the MCM of irrigation water needed in a year for salt removal</t>
  </si>
  <si>
    <t xml:space="preserve">                        Net mm for salt removal = previous Net*LR/(1-LR) - (Rain Deep Perc)….but not less than zero</t>
  </si>
  <si>
    <t>Adj. LR</t>
  </si>
  <si>
    <t>Deep Perc of</t>
  </si>
  <si>
    <t>LR - DP</t>
  </si>
  <si>
    <t>LR needed</t>
  </si>
  <si>
    <t>MCM</t>
  </si>
  <si>
    <t>Ground water pumped by farmers Inside the Command Area</t>
  </si>
  <si>
    <t>Ground water pumped by the Project Authorities Inside the Command Area.</t>
  </si>
  <si>
    <t>Reality Check on Groundwater Storage and Recharge:</t>
  </si>
  <si>
    <t>%</t>
  </si>
  <si>
    <t>Travel time (hours) needed to reach the office of the main canal, from the office of the supplier</t>
  </si>
  <si>
    <t>Magnitude of a typical significant offtake flow rate, cms</t>
  </si>
  <si>
    <t>Main Canal Off-Takes (Turnouts)</t>
  </si>
  <si>
    <t>Personnel from what level operate the offtakes? (1=this level;  2=lower;  3=both)</t>
  </si>
  <si>
    <t>How frequently is the offtake examined by personnel? (hours)</t>
  </si>
  <si>
    <t>Officially, how frequently should offtakes be adjusted? (days)</t>
  </si>
  <si>
    <t>Land consolidation (or rectangular fields) exists on what % of the project area?</t>
  </si>
  <si>
    <t>Field irrigation description</t>
  </si>
  <si>
    <t>What is the ratio of yields at different areas of the project (head/tail) during the dry season?</t>
  </si>
  <si>
    <t>What is the ratio of yields at different areas of the project (head/tail) duringthe wet season?</t>
  </si>
  <si>
    <t>Water source (river, reservoir, wells - write in the answer)</t>
  </si>
  <si>
    <t>Times/year the majority of system is shut down without water</t>
  </si>
  <si>
    <t>Name of currency used in the budgets below:</t>
  </si>
  <si>
    <t>How many of the operation staff actually work in the field?</t>
  </si>
  <si>
    <t>Canal water supplies what drinking water to what % of the people living in the project area?</t>
  </si>
  <si>
    <t>WUAs exist on paper, but have no meaningful activities</t>
  </si>
  <si>
    <t>WUAs exist on paper, but have no significant activities except for holding occasional meetings</t>
  </si>
  <si>
    <t>What percentage of the final distribution of water to individual fields is made by these people?</t>
  </si>
  <si>
    <t>Individual farmer or farm irrigator (%)</t>
  </si>
  <si>
    <t>WUA volunteer (%)</t>
  </si>
  <si>
    <t>WUA employee (%)</t>
  </si>
  <si>
    <t>Project-level employee (%)</t>
  </si>
  <si>
    <r>
      <t>Table 6 Groundwater Data (MCM)</t>
    </r>
    <r>
      <rPr>
        <b/>
        <i/>
        <u val="single"/>
        <sz val="18"/>
        <rFont val="Times New Roman"/>
        <family val="1"/>
      </rPr>
      <t xml:space="preserve"> </t>
    </r>
  </si>
  <si>
    <t>Table 6 - Groundwater Data</t>
  </si>
  <si>
    <t>Table 7 - Precipitation, effective precipitation, and deep percolation of precipitation</t>
  </si>
  <si>
    <t>Table 8 - Special agronomic requirements</t>
  </si>
  <si>
    <t>Table 9 - Crop Yields and Values</t>
  </si>
  <si>
    <r>
      <t xml:space="preserve">Table 3 - Surface Water Entering the Command Area Boundaries (Million Cubic Meters - MCM) </t>
    </r>
    <r>
      <rPr>
        <b/>
        <u val="single"/>
        <sz val="18"/>
        <rFont val="Times New Roman"/>
        <family val="1"/>
      </rPr>
      <t>and which can be used for Irrigation</t>
    </r>
  </si>
  <si>
    <t>Table 4 - Internal Surface Irrigation Water Sources (Million Cubic Meters - MCM)</t>
  </si>
  <si>
    <t>B.  Estimation of seepage and deep percolation of irrigation water</t>
  </si>
  <si>
    <t>0 -  Woefully inadequate.  Only enough funds or in-kind services are available to do absolutely essential tasks.  Funds are insufficient to maintain and replace essential equipment.</t>
  </si>
  <si>
    <t>Various Indicators Regarding Project Employees</t>
  </si>
  <si>
    <t>4 - Adequate training at all levels.  Employees are very aware of the capabilities of themselves and of their equipment.  Employees clearly have a service mentality.  Employees are hired with good backgrounds or are trained at the time of employment, and afterwards.</t>
  </si>
  <si>
    <t>Average salinity of the drainage water that leaves the project, dS/m</t>
  </si>
  <si>
    <t>Average annual depth to the water table, m</t>
  </si>
  <si>
    <t>Change in water table depth over the last 5 years, m</t>
  </si>
  <si>
    <t>f.  The original indicator labels, as found in FAO Water Reports 19, are given here.</t>
  </si>
  <si>
    <t>g.  The worksheet in which the original data were entered is given.</t>
  </si>
  <si>
    <t xml:space="preserve">THESE INDICATORS REQUIRE THE INPUT OF VALUES (0-4) IN EACH OF THE BOXES </t>
  </si>
  <si>
    <t>Fixed rotation - well defined schedule that is followed (%)</t>
  </si>
  <si>
    <t>Fixed rotation - well defined schedule that is often not followed (%)</t>
  </si>
  <si>
    <t>Rotation - variable but known schedule (%)</t>
  </si>
  <si>
    <t>Rotation - variable and unknown schedule (%)</t>
  </si>
  <si>
    <t>Advance days notice required if water deliveries are arranged</t>
  </si>
  <si>
    <t>Arranged (but not part of a rotation) (%)</t>
  </si>
  <si>
    <t>How are flow changes into the main canal (at the source) computed and adjusted?</t>
  </si>
  <si>
    <t>1.3 - The schedule is updated at least weekly with meaningful data.  Changes are actually made based on downstream requirements.</t>
  </si>
  <si>
    <t>0 - Perhaps the schedule is updated weekly, but with data that is not very meaningful.  Corresponding changes may not actually be made.</t>
  </si>
  <si>
    <t>Clarity and correctness of instructions to operators.</t>
  </si>
  <si>
    <t>4 - Instructions are very clear and very correct.</t>
  </si>
  <si>
    <r>
      <t>Stated</t>
    </r>
    <r>
      <rPr>
        <sz val="10"/>
        <rFont val="Arial"/>
        <family val="0"/>
      </rPr>
      <t xml:space="preserve"> Water Delivery Service at the most downstream point in the system operated by a paid employee</t>
    </r>
  </si>
  <si>
    <t>I-3</t>
  </si>
  <si>
    <t>I-3A</t>
  </si>
  <si>
    <t>I-3B</t>
  </si>
  <si>
    <t>I-3C</t>
  </si>
  <si>
    <t>I-3D</t>
  </si>
  <si>
    <t>I-3E</t>
  </si>
  <si>
    <t>I-4</t>
  </si>
  <si>
    <t>I-4A</t>
  </si>
  <si>
    <t>I-4B</t>
  </si>
  <si>
    <t>I-4C</t>
  </si>
  <si>
    <t>I-4D</t>
  </si>
  <si>
    <t>I-4E</t>
  </si>
  <si>
    <t>I-7</t>
  </si>
  <si>
    <t>I-7A</t>
  </si>
  <si>
    <t>I-7B</t>
  </si>
  <si>
    <t>I-7C</t>
  </si>
  <si>
    <t>I-7D</t>
  </si>
  <si>
    <t>I-5</t>
  </si>
  <si>
    <t>I-5A</t>
  </si>
  <si>
    <t>I-5B</t>
  </si>
  <si>
    <t>I-5C</t>
  </si>
  <si>
    <t>I-5D</t>
  </si>
  <si>
    <t>Equity</t>
  </si>
  <si>
    <t>Control of flow rates to the submain as stated</t>
  </si>
  <si>
    <r>
      <t>Stated</t>
    </r>
    <r>
      <rPr>
        <sz val="10"/>
        <rFont val="Arial"/>
        <family val="0"/>
      </rPr>
      <t xml:space="preserve"> Water Delivery Service by the Main Canals to the Second Level Canals</t>
    </r>
  </si>
  <si>
    <t>Fees from Water User Associations or Farmers (computed from later WUA data)</t>
  </si>
  <si>
    <t>Computed ratio of (number of turnouts)/(number of paid employees) - uses WUA sheet information</t>
  </si>
  <si>
    <t>Change in the shallow water table depth over the last 5 years, m (+ is up)</t>
  </si>
  <si>
    <t>How frequently does the headworks respond to realistic real time feedback from the operators/observers of this canal level? This question deals with a mismatch of orders, and problems associated with wedge storage variations and wave travel times.   Assign a value of 0-4</t>
  </si>
  <si>
    <t>Total number of Project and WUA employees who work in the field</t>
  </si>
  <si>
    <t>Total number of Project and WUA employees</t>
  </si>
  <si>
    <t>Total cost per employee (US$/person)</t>
  </si>
  <si>
    <t>Number of turnouts per field operator</t>
  </si>
  <si>
    <t>Total cost per staff person employed (US$/person)</t>
  </si>
  <si>
    <t>Turnouts from the Main Canal</t>
  </si>
  <si>
    <t>Level of maintenance</t>
  </si>
  <si>
    <t>Flow rate capacities</t>
  </si>
  <si>
    <t xml:space="preserve">Ease of turnout operation under the current target operation.  This does not mean that the current targets are being met; rather this rating indicates how easy or difficult it would be to move the turnouts and measure flows to meet the targets. </t>
  </si>
  <si>
    <t>I-12</t>
  </si>
  <si>
    <t>ET of irrigated fields in the command area</t>
  </si>
  <si>
    <t>Net groundwater imported into the project, MCM</t>
  </si>
  <si>
    <r>
      <t xml:space="preserve">Total </t>
    </r>
    <r>
      <rPr>
        <u val="single"/>
        <sz val="10"/>
        <rFont val="Arial"/>
        <family val="2"/>
      </rPr>
      <t>irrigation</t>
    </r>
    <r>
      <rPr>
        <sz val="10"/>
        <rFont val="Arial"/>
        <family val="2"/>
      </rPr>
      <t xml:space="preserve"> water supply (surface plus groundwater) brought into the project boundaries, MCM.</t>
    </r>
  </si>
  <si>
    <r>
      <t xml:space="preserve">Total external </t>
    </r>
    <r>
      <rPr>
        <u val="single"/>
        <sz val="10"/>
        <rFont val="Arial"/>
        <family val="2"/>
      </rPr>
      <t>water</t>
    </r>
    <r>
      <rPr>
        <sz val="10"/>
        <rFont val="Arial"/>
        <family val="2"/>
      </rPr>
      <t xml:space="preserve"> supply - including gross precipitation and net aquifer withdrawl, but excluding internal recirculation, MCM</t>
    </r>
  </si>
  <si>
    <t>Irrigated crop area in the command area, including multiple cropping, ha</t>
  </si>
  <si>
    <t>Physical area of cropland in the command area (not including multiple cropping), ha</t>
  </si>
  <si>
    <r>
      <t>Annual irrigation supply per unit irrigated area (including multiple cropping) -  (m</t>
    </r>
    <r>
      <rPr>
        <vertAlign val="superscript"/>
        <sz val="10"/>
        <rFont val="Arial"/>
        <family val="2"/>
      </rPr>
      <t>3</t>
    </r>
    <r>
      <rPr>
        <sz val="10"/>
        <rFont val="Arial"/>
        <family val="2"/>
      </rPr>
      <t>/ha)</t>
    </r>
  </si>
  <si>
    <t>(Number of turnouts operated by staff)/(total field staff persons)</t>
  </si>
  <si>
    <t>Output per unit command area (US$/ha)</t>
  </si>
  <si>
    <t>Output per unit irrigated area, including multiple cropping (US$/ha)</t>
  </si>
  <si>
    <t>Schedule computed by higher level - no lower level input</t>
  </si>
  <si>
    <t>Schedule computed by higher level - some lower level input</t>
  </si>
  <si>
    <t>Schedule by operator based on judgement of supply and d/s needs</t>
  </si>
  <si>
    <t>Schedule actively matches real-time lower level requests</t>
  </si>
  <si>
    <t>What % of the time is the flow ACTUALLY scheduled as follows:</t>
  </si>
  <si>
    <t>Control of Flows From Main Canal Offtakes</t>
  </si>
  <si>
    <t>Official type of flow control device</t>
  </si>
  <si>
    <t>Common name</t>
  </si>
  <si>
    <t>Official type of flow measurement device</t>
  </si>
  <si>
    <t>Common name?</t>
  </si>
  <si>
    <t>Actual flow control/measurement</t>
  </si>
  <si>
    <t>FLEXIBILITY to final field/farm</t>
  </si>
  <si>
    <t>EQUITY</t>
  </si>
  <si>
    <t>Perceptions by Visiting Team</t>
  </si>
  <si>
    <t>Total salaries</t>
  </si>
  <si>
    <t>Exchange rate:  (US Dollar)/(Local currency)</t>
  </si>
  <si>
    <t>Water User Association (WUA) Budget - These are TOTALs of all WUAs in the project.</t>
  </si>
  <si>
    <t>If volumetric, (Local currency)/cubic meter</t>
  </si>
  <si>
    <t>Describe the "unit" that is charged for:</t>
  </si>
  <si>
    <t>Lining type (percentage of all main canals)</t>
  </si>
  <si>
    <t>Other type of lining, %</t>
  </si>
  <si>
    <t>Total length of Third Level Canals, km</t>
  </si>
  <si>
    <t>Length of longest Third Level Canal, km</t>
  </si>
  <si>
    <t>Third Level Canal Cross Regulators</t>
  </si>
  <si>
    <t>Third Level Canal Cross Regulator Personnel</t>
  </si>
  <si>
    <t>Travel time (hours) needed to reach the office of the Third Level Canal, from the office of the supplier</t>
  </si>
  <si>
    <t>Operation (Third Level Canal)</t>
  </si>
  <si>
    <t>Second Level Canals</t>
  </si>
  <si>
    <t>Actual Service provided at the most downstream point operated by a paid employee.</t>
  </si>
  <si>
    <t>Water User Associations - WUAs  -   General description</t>
  </si>
  <si>
    <t>None - No WUAs exist in any form</t>
  </si>
  <si>
    <t>WUAs exist, but are quite weak</t>
  </si>
  <si>
    <t>WUAs exist, with medium strength</t>
  </si>
  <si>
    <t>Strong WUAs with laws, enforcement, full collection of costs, new investment, etc.</t>
  </si>
  <si>
    <t>Typical WUA size, ha</t>
  </si>
  <si>
    <t>Typical WUA age, years</t>
  </si>
  <si>
    <t>If water charges are described as "volumetric", which one of the following describes the term?</t>
  </si>
  <si>
    <t>Ownership (Define by terms such as "country", "state", "project", or "farmer")</t>
  </si>
  <si>
    <t>2.7 - Instructions are clear, but lacking in sufficient detail.</t>
  </si>
  <si>
    <t>1.3 - Instructions are unclear, but are generally correct.</t>
  </si>
  <si>
    <t>0 - Instructions are incorrect, whether they are clear or not.</t>
  </si>
  <si>
    <t>4 - Once/day</t>
  </si>
  <si>
    <t>2.7 - Once/2 days</t>
  </si>
  <si>
    <t>Table 5  - Hectares of Each Crop in the Command Area, by Month</t>
  </si>
  <si>
    <t>(note - the blue numbers in the cells for each month are the Kc values that were entered earlier.  An area must be entered in the blank cells for those Kc values to be used)</t>
  </si>
  <si>
    <t>Month of the Water Year--&gt;</t>
  </si>
  <si>
    <t>max. value</t>
  </si>
  <si>
    <t>Crop Name</t>
  </si>
  <si>
    <t>Fields with no crop this month (computed value)</t>
  </si>
  <si>
    <t xml:space="preserve">NET NEEDED BY MONTH, MCM (not including </t>
  </si>
  <si>
    <t>special needs and salinity control)</t>
  </si>
  <si>
    <t>Gross Needed at the Field (includes field efficiency and special rice losses of deep perc and surface runoff) - MCM</t>
  </si>
  <si>
    <t>TOTAL GROSS NEEDED BY MONTH, MCM</t>
  </si>
  <si>
    <t>before check with special requirements, and also not including salinity requirements</t>
  </si>
  <si>
    <t xml:space="preserve">Computed Overall Field Irrigation Efficiency = </t>
  </si>
  <si>
    <t>Maximum Gross Needed Per Month - Including Special Requirements  - MCM</t>
  </si>
  <si>
    <t>Total Irrigated Cropland, Ha</t>
  </si>
  <si>
    <t>Total annual expense for pumping energy (this should have been included in Operation, above) - local currency/yr</t>
  </si>
  <si>
    <t>OTHER</t>
  </si>
  <si>
    <t>Percent of O&amp;M expenses that are used for pumping (%)</t>
  </si>
  <si>
    <t>3 - Completely and sufficiently financed, but much of the financing comes from the government in terms of maintenance, operation, grants, etc.</t>
  </si>
  <si>
    <t>Cross regulator hardware (Second Level Canals)</t>
  </si>
  <si>
    <t>Operation of the Second Level Canals</t>
  </si>
  <si>
    <t>General Conditions for the Second Level Canals</t>
  </si>
  <si>
    <t>Communications for the Second Level Canals</t>
  </si>
  <si>
    <t>Regulating Reservoirs in the Second Level Canals</t>
  </si>
  <si>
    <t>Turnouts from the Second Level Canals</t>
  </si>
  <si>
    <r>
      <t xml:space="preserve">Degree to which deliveries are </t>
    </r>
    <r>
      <rPr>
        <b/>
        <u val="single"/>
        <sz val="9"/>
        <rFont val="Times New Roman"/>
        <family val="1"/>
      </rPr>
      <t>NOT</t>
    </r>
    <r>
      <rPr>
        <sz val="9"/>
        <rFont val="Times New Roman"/>
        <family val="1"/>
      </rPr>
      <t xml:space="preserve"> taken when not allowed, or at flow rates greater than allowed</t>
    </r>
  </si>
  <si>
    <r>
      <t xml:space="preserve">Noticeable </t>
    </r>
    <r>
      <rPr>
        <b/>
        <u val="single"/>
        <sz val="9"/>
        <rFont val="Times New Roman"/>
        <family val="1"/>
      </rPr>
      <t>non</t>
    </r>
    <r>
      <rPr>
        <sz val="9"/>
        <rFont val="Times New Roman"/>
        <family val="1"/>
      </rPr>
      <t>-existence of unauthorized turnouts from canals.</t>
    </r>
  </si>
  <si>
    <t>Lack of vandalism of structures.</t>
  </si>
  <si>
    <t>I-21</t>
  </si>
  <si>
    <t>I-21A</t>
  </si>
  <si>
    <t>I-21B</t>
  </si>
  <si>
    <t>I-21C</t>
  </si>
  <si>
    <t>I-21D</t>
  </si>
  <si>
    <t>I-22</t>
  </si>
  <si>
    <t>I-22A</t>
  </si>
  <si>
    <t>I-22B</t>
  </si>
  <si>
    <t>I-22C</t>
  </si>
  <si>
    <t>I-22D</t>
  </si>
  <si>
    <t>I-l20</t>
  </si>
  <si>
    <t>I-20A</t>
  </si>
  <si>
    <t>I-20B</t>
  </si>
  <si>
    <t>I-20C</t>
  </si>
  <si>
    <t>I-20D</t>
  </si>
  <si>
    <t>I-20E</t>
  </si>
  <si>
    <t>I-21F</t>
  </si>
  <si>
    <t>I-21E</t>
  </si>
  <si>
    <t>I-16</t>
  </si>
  <si>
    <t>I-16A</t>
  </si>
  <si>
    <t>I-16B</t>
  </si>
  <si>
    <t>I-16C</t>
  </si>
  <si>
    <t>I-16D</t>
  </si>
  <si>
    <t>I-14</t>
  </si>
  <si>
    <t>I-14A</t>
  </si>
  <si>
    <t>I-14B</t>
  </si>
  <si>
    <t>I-14C</t>
  </si>
  <si>
    <t>I-14D</t>
  </si>
  <si>
    <t>I-14E</t>
  </si>
  <si>
    <t>I-15</t>
  </si>
  <si>
    <t>I-15A</t>
  </si>
  <si>
    <t>I-15B</t>
  </si>
  <si>
    <t>I-15C</t>
  </si>
  <si>
    <t>I-15D</t>
  </si>
  <si>
    <t>I-14F</t>
  </si>
  <si>
    <t>I-17</t>
  </si>
  <si>
    <t>I-17A</t>
  </si>
  <si>
    <t>I-17B</t>
  </si>
  <si>
    <t>I-17C</t>
  </si>
  <si>
    <t>I-17D</t>
  </si>
  <si>
    <t>I-17E</t>
  </si>
  <si>
    <t>I-17F</t>
  </si>
  <si>
    <t>I-18</t>
  </si>
  <si>
    <t>I-18A</t>
  </si>
  <si>
    <t>I-18B</t>
  </si>
  <si>
    <t>I-18C</t>
  </si>
  <si>
    <t>Governing Board of WUA - select the answer that most closely matches average conditiions)</t>
  </si>
  <si>
    <t xml:space="preserve">Date: </t>
  </si>
  <si>
    <t>4 - Second Level canal operators know the flows and receive the flows within a few hours of the targeted time.  No shortages during the year.</t>
  </si>
  <si>
    <t>3 - Second Level canal operators know the flows, but may have to wait as long as a day to obtain the flows they need.  Only a few shortages throughout the year.</t>
  </si>
  <si>
    <t>Control of flows to Second Level canals - Choose a value from 0-4, based on the scale below:</t>
  </si>
  <si>
    <t>***AS DESCRIBED IN THE OFFICE***</t>
  </si>
  <si>
    <t>4 - 1 field</t>
  </si>
  <si>
    <t>3 - less than 3 fields</t>
  </si>
  <si>
    <t>2 - less than 6 fields</t>
  </si>
  <si>
    <t>1 - less than 10 fields</t>
  </si>
  <si>
    <t>0 -  10 or more fields</t>
  </si>
  <si>
    <t>Hectares downstream of that point (typical)</t>
  </si>
  <si>
    <t>Number of water users downstream of that point (typical)</t>
  </si>
  <si>
    <t>General Project Conditions</t>
  </si>
  <si>
    <t>Average net farm size (ha)</t>
  </si>
  <si>
    <t>Number of water users</t>
  </si>
  <si>
    <t>Typical field size, ha</t>
  </si>
  <si>
    <t>Ownership of land, % of total</t>
  </si>
  <si>
    <t>owned and operated by farmers</t>
  </si>
  <si>
    <t>farmed by tenants on private ground</t>
  </si>
  <si>
    <t>owned by government or cooperative</t>
  </si>
  <si>
    <t>percent rented land</t>
  </si>
  <si>
    <t>Source of silt</t>
  </si>
  <si>
    <t>% of land with sprinklers</t>
  </si>
  <si>
    <t>% of land with drip</t>
  </si>
  <si>
    <t>% of land with surface irrigation</t>
  </si>
  <si>
    <t>Water Supply</t>
  </si>
  <si>
    <t>Foreign</t>
  </si>
  <si>
    <t>Employees</t>
  </si>
  <si>
    <t>Water Charges</t>
  </si>
  <si>
    <t>Main canals</t>
  </si>
  <si>
    <t>Secondary canals</t>
  </si>
  <si>
    <t>3rd Level</t>
  </si>
  <si>
    <t>Distributaries to individual fields</t>
  </si>
  <si>
    <t>Water</t>
  </si>
  <si>
    <t>Maintenance of canals</t>
  </si>
  <si>
    <t>Collection of water fees</t>
  </si>
  <si>
    <t>Collection of other fees</t>
  </si>
  <si>
    <t>Farmer cooperative - agronomic purposes</t>
  </si>
  <si>
    <t>Technical advice to farmers</t>
  </si>
  <si>
    <t>Project Operation</t>
  </si>
  <si>
    <t>Annual Operation Policies</t>
  </si>
  <si>
    <t>How often are main supply discharges re-calculated, days?</t>
  </si>
  <si>
    <t xml:space="preserve"> </t>
  </si>
  <si>
    <t>Main Canal</t>
  </si>
  <si>
    <t>Control of Flows Into Main Canals</t>
  </si>
  <si>
    <t>Type of flow control device</t>
  </si>
  <si>
    <t>Type of flow measurement device</t>
  </si>
  <si>
    <t>Main Canal Characteristics</t>
  </si>
  <si>
    <t>Total length of Main Canals, km</t>
  </si>
  <si>
    <t>Length of longest main canal, km</t>
  </si>
  <si>
    <t>Water travel time (hours) from start to first deliveries</t>
  </si>
  <si>
    <t>Has seepage been measured well?</t>
  </si>
  <si>
    <t>Have spills been measured well?</t>
  </si>
  <si>
    <t>Masonry, %</t>
  </si>
  <si>
    <t>Concrete, %</t>
  </si>
  <si>
    <t>Unlined, %</t>
  </si>
  <si>
    <t>Number of cross regulators/km</t>
  </si>
  <si>
    <t>Are there large overflows at cross regulator sides?</t>
  </si>
  <si>
    <t xml:space="preserve">Travel time of a flow rate change throughout this canal level </t>
  </si>
  <si>
    <t>Change in shallow water table depth over last 5 years (m)  (+ is up)</t>
  </si>
  <si>
    <t xml:space="preserve">                     Effective precipitation is defined for this worksheet as precipitation that is either</t>
  </si>
  <si>
    <t xml:space="preserve">                           - Is used as ET during that month…….it does NOT include deep percolation for salt removal</t>
  </si>
  <si>
    <t xml:space="preserve">                    ***All other precipitation either DEEP PERCOLATES, or RUNS OFF.</t>
  </si>
  <si>
    <t>Item</t>
  </si>
  <si>
    <t>Precipitation, mm</t>
  </si>
  <si>
    <t>ETfield, mm</t>
  </si>
  <si>
    <t>% Effective precip</t>
  </si>
  <si>
    <t>Effective precip., mm</t>
  </si>
  <si>
    <t>TOTAL by MONTH:</t>
  </si>
  <si>
    <t>Deep perc. of precip., mm.</t>
  </si>
  <si>
    <t>Maximum monthly value, MCM:</t>
  </si>
  <si>
    <t>MCM effective ppt on irrig land in command</t>
  </si>
  <si>
    <t>MCM of effective ppt.</t>
  </si>
  <si>
    <t>Max Ha this year</t>
  </si>
  <si>
    <t>MCM of special agronomic requirements</t>
  </si>
  <si>
    <t>TOTALS:</t>
  </si>
  <si>
    <t>Crop</t>
  </si>
  <si>
    <t>Total by Month:</t>
  </si>
  <si>
    <t xml:space="preserve">Some crops have special irrigation requirements at a specific time of the year. </t>
  </si>
  <si>
    <t xml:space="preserve">  This estimate includes spills, seepage, and evaporation.</t>
  </si>
  <si>
    <t xml:space="preserve">      Cotton fields may need to be "pre-irrigated" - that is, irrigated prior to planting.</t>
  </si>
  <si>
    <t xml:space="preserve">These special requirements may require a much higher project irrigation water demand than what is expected if one just examines </t>
  </si>
  <si>
    <t>evapotranspiration requirements.  However, they do NOT include any leaching requirements for salinity control.</t>
  </si>
  <si>
    <t xml:space="preserve">any ET requirements (minus effective rainfall).  These should be "gross" values at the field, </t>
  </si>
  <si>
    <t>but should not include any conveyance losses that are necessary to transport the water to the field.</t>
  </si>
  <si>
    <r>
      <t>Insert mm. values for this</t>
    </r>
    <r>
      <rPr>
        <b/>
        <i/>
        <u val="single"/>
        <sz val="12"/>
        <rFont val="New Century Schlbk"/>
        <family val="0"/>
      </rPr>
      <t xml:space="preserve"> year.  There may be no entries in this table, depending upon the crops and practices.</t>
    </r>
  </si>
  <si>
    <t>Special Needs, mm. of Irrigation Water</t>
  </si>
  <si>
    <t>Irrigated Crop Description</t>
  </si>
  <si>
    <t>Typical yield, metric tons/ha</t>
  </si>
  <si>
    <t>hectares</t>
  </si>
  <si>
    <t>Gross tonnage/yr</t>
  </si>
  <si>
    <t>Value of agricultural production, $US/yr</t>
  </si>
  <si>
    <t>Total annual value ($US)</t>
  </si>
  <si>
    <t>Item Description</t>
  </si>
  <si>
    <t>Year 1, Monthly  --&gt;</t>
  </si>
  <si>
    <t>Year 2, Monthly --&gt;</t>
  </si>
  <si>
    <t>Year 3, Monthly --&gt;</t>
  </si>
  <si>
    <t>Units</t>
  </si>
  <si>
    <t>Stated Efficiencies</t>
  </si>
  <si>
    <t>%/100</t>
  </si>
  <si>
    <t>Areas</t>
  </si>
  <si>
    <t>Ha</t>
  </si>
  <si>
    <t>Cropping intensity in the command area including double cropping</t>
  </si>
  <si>
    <t>none</t>
  </si>
  <si>
    <t>External sources of water for the command area</t>
  </si>
  <si>
    <t>Irrigation water delivered to users</t>
  </si>
  <si>
    <t>Net Field Irrigation requirements</t>
  </si>
  <si>
    <t>ET of irrigation water in the command area   (ET - effective precipitation)</t>
  </si>
  <si>
    <t>Irrigation water needed for salinity control (net)</t>
  </si>
  <si>
    <t xml:space="preserve">Irrigation water needed for special practices </t>
  </si>
  <si>
    <t>Total NET irrigation water requirements (ET - eff ppt + salt control + special practices)</t>
  </si>
  <si>
    <t>Other Key Values</t>
  </si>
  <si>
    <t>cms</t>
  </si>
  <si>
    <t>Actual peak flow rate of the main canal(s) at diversion point(s) this year</t>
  </si>
  <si>
    <t>Peak NET irrigation requirement for field, including any special requirements</t>
  </si>
  <si>
    <t>Peak GROSS irrigation requirement, including all inefficiencies</t>
  </si>
  <si>
    <t>ANNUAL  or One-Time  External INDICATORS for the Command Area</t>
  </si>
  <si>
    <t>Peak liters/sec/ha of surface irrigation inflows to canal(s) this year</t>
  </si>
  <si>
    <t>LPS/Ha</t>
  </si>
  <si>
    <t>m Tons</t>
  </si>
  <si>
    <t>Total annual value of agricultural production</t>
  </si>
  <si>
    <t>$ US</t>
  </si>
  <si>
    <t>Average salinity of the irrigation water, dS/m (computed average of the 3 years of INPUT data)</t>
  </si>
  <si>
    <t>* These values have been imported from other worksheets</t>
  </si>
  <si>
    <t>Farmgate selling price, Local currency/ metric ton</t>
  </si>
  <si>
    <t>Check:  This value should equal 100 after the question above is answered.</t>
  </si>
  <si>
    <t>Live Storage Capacity of Reservoir, million cubic meters (MCM)</t>
  </si>
  <si>
    <t>What percentage of the total project (including WUA) Operation and Maintenance (O&amp;M) is collected as in-kind services, and/or water fees from water users? (calculated value from WUA worksheet)</t>
  </si>
  <si>
    <t>Project:</t>
  </si>
  <si>
    <t>Date:</t>
  </si>
  <si>
    <t>1 - All of the canal can be easily traversed on one side with a motorcycle, but maintenance equipment access is very limited.</t>
  </si>
  <si>
    <t>For whom do the operators work?</t>
  </si>
  <si>
    <t>Is there a formal performance review process annually?</t>
  </si>
  <si>
    <t>If so, is it written down &amp; understood by employees?</t>
  </si>
  <si>
    <t>Main Canal Communications/Transportation</t>
  </si>
  <si>
    <t>What is the transportation of mobile personnel?</t>
  </si>
  <si>
    <t>How many automatic remote monitoring sites are there?</t>
  </si>
  <si>
    <t>Number of significant offtakes/km</t>
  </si>
  <si>
    <t>Scheduling of Flows From Main Canal Offtakes</t>
  </si>
  <si>
    <t>What % of the time is the flow OFFICIALLY scheduled as follows:</t>
  </si>
  <si>
    <t>Proportional flow</t>
  </si>
  <si>
    <t>Rotation</t>
  </si>
  <si>
    <t>Total annual volume of water consumed as ET on the fields (ET) - MCM</t>
  </si>
  <si>
    <t>Conveyance system water delivery efficiency, %  (as stated)</t>
  </si>
  <si>
    <r>
      <t>Output per unit irrigation supply that is imported into the project boundaries (US$/m</t>
    </r>
    <r>
      <rPr>
        <vertAlign val="superscript"/>
        <sz val="12"/>
        <rFont val="New Century Schlbk"/>
        <family val="0"/>
      </rPr>
      <t>3</t>
    </r>
    <r>
      <rPr>
        <sz val="10"/>
        <rFont val="Arial"/>
        <family val="0"/>
      </rPr>
      <t>)</t>
    </r>
  </si>
  <si>
    <r>
      <t>Output per unit of total water (including precipitation) into the project (US$/m</t>
    </r>
    <r>
      <rPr>
        <vertAlign val="superscript"/>
        <sz val="10"/>
        <rFont val="Arial"/>
        <family val="2"/>
      </rPr>
      <t>3</t>
    </r>
    <r>
      <rPr>
        <sz val="10"/>
        <rFont val="Arial"/>
        <family val="0"/>
      </rPr>
      <t>)</t>
    </r>
  </si>
  <si>
    <r>
      <t xml:space="preserve">Total annual volume of </t>
    </r>
    <r>
      <rPr>
        <b/>
        <u val="single"/>
        <sz val="10"/>
        <rFont val="Arial"/>
        <family val="2"/>
      </rPr>
      <t>water</t>
    </r>
    <r>
      <rPr>
        <sz val="10"/>
        <rFont val="Arial"/>
        <family val="0"/>
      </rPr>
      <t xml:space="preserve"> supply (MCM)</t>
    </r>
  </si>
  <si>
    <r>
      <t>Annual irrigation supply per unit command area (m</t>
    </r>
    <r>
      <rPr>
        <vertAlign val="superscript"/>
        <sz val="10"/>
        <rFont val="Arial"/>
        <family val="2"/>
      </rPr>
      <t>3</t>
    </r>
    <r>
      <rPr>
        <sz val="10"/>
        <rFont val="Arial"/>
        <family val="0"/>
      </rPr>
      <t>/ha)</t>
    </r>
  </si>
  <si>
    <r>
      <t>Annual irrigation supply per unit irrigated area (m</t>
    </r>
    <r>
      <rPr>
        <vertAlign val="superscript"/>
        <sz val="10"/>
        <rFont val="Arial"/>
        <family val="2"/>
      </rPr>
      <t>3</t>
    </r>
    <r>
      <rPr>
        <sz val="10"/>
        <rFont val="Arial"/>
        <family val="0"/>
      </rPr>
      <t>/ha)</t>
    </r>
  </si>
  <si>
    <t>Estimated conveyance efficiency for project groundwater, %</t>
  </si>
  <si>
    <t>Annual Relative Water Supply (RWS)</t>
  </si>
  <si>
    <t>Annual Relative Irrigation Supply (RIS)</t>
  </si>
  <si>
    <t>Security of entitlement supply, %</t>
  </si>
  <si>
    <t>Average Field Irrigation Efficiency, %</t>
  </si>
  <si>
    <t>FINANCIAL INDICATORS</t>
  </si>
  <si>
    <t>WATER BALANCE INDICATORS</t>
  </si>
  <si>
    <t>Water Year of the data</t>
  </si>
  <si>
    <t>AGRICULTURAL PRODUCTIVITY AND ECONOMIC INDICATORS</t>
  </si>
  <si>
    <r>
      <t xml:space="preserve">Output per unit </t>
    </r>
    <r>
      <rPr>
        <u val="single"/>
        <sz val="10"/>
        <rFont val="Arial"/>
        <family val="2"/>
      </rPr>
      <t>water</t>
    </r>
    <r>
      <rPr>
        <sz val="10"/>
        <rFont val="Arial"/>
        <family val="0"/>
      </rPr>
      <t xml:space="preserve"> supply (US$/m</t>
    </r>
    <r>
      <rPr>
        <vertAlign val="superscript"/>
        <sz val="10"/>
        <rFont val="Arial"/>
        <family val="2"/>
      </rPr>
      <t>3</t>
    </r>
    <r>
      <rPr>
        <sz val="10"/>
        <rFont val="Arial"/>
        <family val="0"/>
      </rPr>
      <t>)</t>
    </r>
  </si>
  <si>
    <r>
      <t xml:space="preserve">Output per unit </t>
    </r>
    <r>
      <rPr>
        <u val="single"/>
        <sz val="10"/>
        <rFont val="Arial"/>
        <family val="2"/>
      </rPr>
      <t>irrigation</t>
    </r>
    <r>
      <rPr>
        <sz val="10"/>
        <rFont val="Arial"/>
        <family val="0"/>
      </rPr>
      <t xml:space="preserve"> supply (US$/m</t>
    </r>
    <r>
      <rPr>
        <vertAlign val="superscript"/>
        <sz val="10"/>
        <rFont val="Arial"/>
        <family val="2"/>
      </rPr>
      <t>3</t>
    </r>
    <r>
      <rPr>
        <sz val="10"/>
        <rFont val="Arial"/>
        <family val="0"/>
      </rPr>
      <t>)</t>
    </r>
  </si>
  <si>
    <t>ENVIRONMENTAL INDICATORS</t>
  </si>
  <si>
    <t>Water quality: Average salinity of the irrigation supply (dS/m)</t>
  </si>
  <si>
    <t>Water quality: Average salinity of the drainage water (dS/m)</t>
  </si>
  <si>
    <t>Average depth to the shallow water table (m)</t>
  </si>
  <si>
    <t>Water quality, Chemical:  Average COD of the drainage water (mgm/liter)</t>
  </si>
  <si>
    <t>Water quality, Chemical:  Average COD of the irrigation supply (mgm/liter)</t>
  </si>
  <si>
    <t>Water quality, Biological:  Average BOD of the drainage water (mgm/liter)</t>
  </si>
  <si>
    <t>Water quality, Biological:  Average BOD of the irrigation supply (mgm/liter)</t>
  </si>
  <si>
    <t>Average annual depth to the shallow water table, m</t>
  </si>
  <si>
    <t>0 - Almost no meaningful maintenance.  Major items and sections are in disrepair.</t>
  </si>
  <si>
    <t>4 - Very little seepage (less than 4%)</t>
  </si>
  <si>
    <t>2 -    9 - 15% along this canal</t>
  </si>
  <si>
    <t>3 -    4-8% of what enters this canal.</t>
  </si>
  <si>
    <t>How frequently is the whole length of this canal checked for problems and reported to the office?  This means one or more persons physically drive all the sections of the canal.</t>
  </si>
  <si>
    <t>1.3 - Once per week</t>
  </si>
  <si>
    <t>0 - Once per month or less often</t>
  </si>
  <si>
    <t>To what extent are computers being used for billing and record management? (0-4)</t>
  </si>
  <si>
    <t>Daily Operation Policies - as described in the office</t>
  </si>
  <si>
    <t>What is the maximum time required for an operator to reach a regulator, hours?</t>
  </si>
  <si>
    <t>How frequently (days) are gates typically operated?</t>
  </si>
  <si>
    <t>Typical education level of operator (years of school)</t>
  </si>
  <si>
    <t>Input rules:</t>
  </si>
  <si>
    <t xml:space="preserve"> A blank cell indicates a place for data input</t>
  </si>
  <si>
    <t>LR</t>
  </si>
  <si>
    <t>Adj LR</t>
  </si>
  <si>
    <t>LR/(1-LR)</t>
  </si>
  <si>
    <t xml:space="preserve"> A shaded cell should not receive input.  It is a default value or explanation cell</t>
  </si>
  <si>
    <t xml:space="preserve">  Red letters indicate computed values</t>
  </si>
  <si>
    <t>see Table 9 on each INPUT worksheet (1-3)</t>
  </si>
  <si>
    <t>e.  The weight assigned to each Sub-Indicator is given in Column E.</t>
  </si>
  <si>
    <t>d.  The assigned value for each Sub-Indicator is found in Column D.  Also, computed values for each Primary Indicators are found here.</t>
  </si>
  <si>
    <t>c.  The Sub-Indicator is described in Column C</t>
  </si>
  <si>
    <t>Values  for DI 18 must be extracted from Table 9 on each INPUT-Year"X" worksheet</t>
  </si>
  <si>
    <t>(Actual/Stated) Overall Service at the most downstream point operated by a paid employee</t>
  </si>
  <si>
    <t>SPECIAL INDICATORS THAT DO NOT HAVE A 0-4 RATING SCALE</t>
  </si>
  <si>
    <r>
      <t>Annual irrigation water delivery per unit command area (m</t>
    </r>
    <r>
      <rPr>
        <vertAlign val="superscript"/>
        <sz val="12"/>
        <rFont val="New Century Schlbk"/>
        <family val="0"/>
      </rPr>
      <t>3</t>
    </r>
    <r>
      <rPr>
        <sz val="10"/>
        <rFont val="Arial"/>
        <family val="0"/>
      </rPr>
      <t>/ha)</t>
    </r>
  </si>
  <si>
    <t>RAP 31</t>
  </si>
  <si>
    <t>RAP 15</t>
  </si>
  <si>
    <r>
      <t>Annual irrigation water delivery per unit irrigated area (m</t>
    </r>
    <r>
      <rPr>
        <vertAlign val="superscript"/>
        <sz val="12"/>
        <rFont val="New Century Schlbk"/>
        <family val="0"/>
      </rPr>
      <t>3</t>
    </r>
    <r>
      <rPr>
        <sz val="10"/>
        <rFont val="Arial"/>
        <family val="0"/>
      </rPr>
      <t>/ha)</t>
    </r>
  </si>
  <si>
    <t>Financial strength of WUAS  (Note:   If there are no WUAs in the project, the answer is "0".)</t>
  </si>
  <si>
    <t>4 - Completely and sufficiently self-sustaining.  They have the power to tax, charge for water, and obtain loans.</t>
  </si>
  <si>
    <t>Construction of facilities in its area</t>
  </si>
  <si>
    <t>Employees (totals for all WUAs in project)</t>
  </si>
  <si>
    <t>Average years a typical professional employee works for a WUA (anticipated)</t>
  </si>
  <si>
    <t>What daily or weekly INSTRUCTIONS for field persons does the office give?</t>
  </si>
  <si>
    <t>Officially, can the gate operator make gate adjustments without upper approval?</t>
  </si>
  <si>
    <t>4 - Excellent measurement and control devices, properly operated and recorded</t>
  </si>
  <si>
    <t>3 - Reasonable measurement and control devices, average operation</t>
  </si>
  <si>
    <t>2 - Useful but poor measurement of volumes and flow rates</t>
  </si>
  <si>
    <t>1 - Reasonable measurement of flows, but not of volumes</t>
  </si>
  <si>
    <t>0 - No measurement of volumes or flows</t>
  </si>
  <si>
    <t>Flexibility</t>
  </si>
  <si>
    <t>4 - Unlimited frequency, rate, and duration, but arranged by users within a few days</t>
  </si>
  <si>
    <t>3 - Fixed frequency, rate or duration, but arranged.</t>
  </si>
  <si>
    <t>2 - Dictated rotation, but it approximately matches the crop needs</t>
  </si>
  <si>
    <t>1 - Rotation deliveries, but on a somewhat uncertain schedule</t>
  </si>
  <si>
    <t>0 - No established rules</t>
  </si>
  <si>
    <t>Reliability</t>
  </si>
  <si>
    <t>4 - Water always arrives with the frequency, rate, and duration promised.   Volume is known.</t>
  </si>
  <si>
    <t>3 - Very reliable in rate and duration, but occasionally there are a few days of delay.  Volume is known</t>
  </si>
  <si>
    <t>2 - Water arrives about when it is needed, and in the correct amounts.  Volume is unknown.</t>
  </si>
  <si>
    <t>0 - Unreliable frequency, rate, and duration more than 50% of the time, and volume delivered in unknown.</t>
  </si>
  <si>
    <t>4 - All points throughout the project and within tertiary units receive the same type of water delivery service</t>
  </si>
  <si>
    <t>3 - Areas of the project receive the same amounts of water, but within an area service is somewhat inequitable.</t>
  </si>
  <si>
    <t>2 - Areas of the project unintentionally receive somewhat different amounts of water, but within an area it is equitable.</t>
  </si>
  <si>
    <t>1 - There are medium inequities both between areas and within areas.</t>
  </si>
  <si>
    <t>0 - There are differences of more than 50% throughout the project on a fairly wide-spread basis.</t>
  </si>
  <si>
    <t>4 - All fields throughout the project and within tertiary units receive the same type of water delivery service</t>
  </si>
  <si>
    <t>4 - Used for almost all billing and records.  Frequently updated and effective.</t>
  </si>
  <si>
    <t>3 - Used  for about half of billing and record-keeping activities.  Frequently updated and effective</t>
  </si>
  <si>
    <t>NET MCM of irrigation water needed for salt control:</t>
  </si>
  <si>
    <t xml:space="preserve">NET Needed Per Month, PLUS any special GROSS requirements - MCM </t>
  </si>
  <si>
    <t xml:space="preserve">                     It is understood that this isn't the perfect combination (Net plus Gross) - but the "special" requirements are difficult to handle.</t>
  </si>
  <si>
    <t>END of the GROUNDWATER INPUT SECTION</t>
  </si>
  <si>
    <t>This table requires 3 inputs for each month:</t>
  </si>
  <si>
    <t>Estimated total gross internal surface water + groundwater</t>
  </si>
  <si>
    <r>
      <t xml:space="preserve">Total </t>
    </r>
    <r>
      <rPr>
        <u val="single"/>
        <sz val="14"/>
        <rFont val="Arial"/>
        <family val="2"/>
      </rPr>
      <t>irrigation</t>
    </r>
    <r>
      <rPr>
        <sz val="14"/>
        <rFont val="Arial"/>
        <family val="2"/>
      </rPr>
      <t xml:space="preserve"> water </t>
    </r>
    <r>
      <rPr>
        <u val="single"/>
        <sz val="14"/>
        <rFont val="Arial"/>
        <family val="2"/>
      </rPr>
      <t xml:space="preserve">deliveries to users </t>
    </r>
    <r>
      <rPr>
        <sz val="14"/>
        <rFont val="Arial"/>
        <family val="2"/>
      </rPr>
      <t>(external surface irrigation water + internal diversions and pumping water sources), reduced for conveyance efficiencies</t>
    </r>
  </si>
  <si>
    <r>
      <t xml:space="preserve">Delivery of </t>
    </r>
    <r>
      <rPr>
        <u val="single"/>
        <sz val="14"/>
        <rFont val="Arial"/>
        <family val="2"/>
      </rPr>
      <t>external</t>
    </r>
    <r>
      <rPr>
        <sz val="14"/>
        <rFont val="Arial"/>
        <family val="2"/>
      </rPr>
      <t xml:space="preserve"> surface </t>
    </r>
    <r>
      <rPr>
        <b/>
        <u val="single"/>
        <sz val="14"/>
        <rFont val="Arial"/>
        <family val="2"/>
      </rPr>
      <t>irrigation</t>
    </r>
    <r>
      <rPr>
        <sz val="14"/>
        <rFont val="Arial"/>
        <family val="2"/>
      </rPr>
      <t xml:space="preserve"> water to </t>
    </r>
    <r>
      <rPr>
        <u val="single"/>
        <sz val="14"/>
        <rFont val="Arial"/>
        <family val="2"/>
      </rPr>
      <t>users</t>
    </r>
    <r>
      <rPr>
        <sz val="14"/>
        <rFont val="Arial"/>
        <family val="2"/>
      </rPr>
      <t xml:space="preserve"> - using stated conveyance efficiency</t>
    </r>
  </si>
  <si>
    <r>
      <t>All other</t>
    </r>
    <r>
      <rPr>
        <b/>
        <u val="single"/>
        <sz val="14"/>
        <rFont val="Arial"/>
        <family val="2"/>
      </rPr>
      <t xml:space="preserve"> irrigation</t>
    </r>
    <r>
      <rPr>
        <sz val="14"/>
        <rFont val="Arial"/>
        <family val="2"/>
      </rPr>
      <t xml:space="preserve"> water to users (surface recirculation plus all well pumping, with stated conveyance efficiencies, using 100% for farmer pumping and farmer surface diversions)</t>
    </r>
  </si>
  <si>
    <t>Stated conveyance efficiency of imported canal water (accounts for seepage and spills and tail end flows)</t>
  </si>
  <si>
    <t>2 - The WUAs are recognized by law.  Many rules have been laid out in enabling legislation.  Supposedly, the WUA has power, but in reality there is no support from either the judicial or executive systems to support it.</t>
  </si>
  <si>
    <t>1 - Although the government has the WUAs "on the books", in reality there are few if any true powers related to water.  The WUAs were formed mainly to the bidding of the government, such as collecting fees.</t>
  </si>
  <si>
    <t>0 - WUAs are not even on the state or federal government books.</t>
  </si>
  <si>
    <t>A.  Total reported annual pump withdrawals from the aquifer =</t>
  </si>
  <si>
    <t>or, 2.  What is the maximum flow rate officially allocated to the project, (cms)</t>
  </si>
  <si>
    <t>Improvement of structures and modernization (including salaries)</t>
  </si>
  <si>
    <t>What percentage of the total budget (project and WUA) is spent on modernization of the water delivery operation/structures (as contrasted to rehabilitation or regular operation)?, %</t>
  </si>
  <si>
    <t>Gross maximum flow rate entitlement of the project, cms</t>
  </si>
  <si>
    <t>Average percentage of the entitlement that is received, %</t>
  </si>
  <si>
    <t>Total annual (Project + WUA) expenditure on system maintenance, $US</t>
  </si>
  <si>
    <t>Total cost of personnel in the project and WUAs, $US</t>
  </si>
  <si>
    <t>What Percentage of water charges are recovered/collected?,  %</t>
  </si>
  <si>
    <t>I-18D</t>
  </si>
  <si>
    <t>I-19</t>
  </si>
  <si>
    <t>I-19A</t>
  </si>
  <si>
    <t>I-19B</t>
  </si>
  <si>
    <t>I-19C</t>
  </si>
  <si>
    <t>I-19D</t>
  </si>
  <si>
    <t>Cross regulator hardware (Third Level Canals)</t>
  </si>
  <si>
    <t>Turnouts from the Third Level Canals</t>
  </si>
  <si>
    <t>Regulating Reservoirs in the Third Level Canals</t>
  </si>
  <si>
    <t>Communications for the Third Level Canals</t>
  </si>
  <si>
    <t>General Conditions for the Third Level Canals</t>
  </si>
  <si>
    <t>Operation of the Third Level Canals</t>
  </si>
  <si>
    <t>I-20</t>
  </si>
  <si>
    <t>I-23</t>
  </si>
  <si>
    <t>I-23A</t>
  </si>
  <si>
    <t>I-23B</t>
  </si>
  <si>
    <t>I-23C</t>
  </si>
  <si>
    <t>I-23D</t>
  </si>
  <si>
    <t>I-23E</t>
  </si>
  <si>
    <t>I-23F</t>
  </si>
  <si>
    <t>I-24</t>
  </si>
  <si>
    <t>I-24A</t>
  </si>
  <si>
    <t>I-24B</t>
  </si>
  <si>
    <t>I-24C</t>
  </si>
  <si>
    <t>I-24D</t>
  </si>
  <si>
    <t>I-25</t>
  </si>
  <si>
    <t>I-25A</t>
  </si>
  <si>
    <t>I-25B</t>
  </si>
  <si>
    <t>I-25C</t>
  </si>
  <si>
    <t>I-25D</t>
  </si>
  <si>
    <t>Budgets, Employees, WUAs</t>
  </si>
  <si>
    <t>Budgets</t>
  </si>
  <si>
    <t xml:space="preserve"> For example, rice fields may need to be flooded prior to transplanting or planting. </t>
  </si>
  <si>
    <t>MCM - Estimated net Aquifer contribution</t>
  </si>
  <si>
    <t>Table 8   - Special agronomic requirements (mm)</t>
  </si>
  <si>
    <t>This worksheet has 9 tables that require inputs FOR ONE YEAR, in addition to the cells above.</t>
  </si>
  <si>
    <r>
      <t xml:space="preserve">**The units of the input values for Table 8 are </t>
    </r>
    <r>
      <rPr>
        <b/>
        <u val="single"/>
        <sz val="12"/>
        <rFont val="New Century Schlbk"/>
        <family val="0"/>
      </rPr>
      <t>millimeters</t>
    </r>
    <r>
      <rPr>
        <b/>
        <sz val="12"/>
        <rFont val="Arial"/>
        <family val="0"/>
      </rPr>
      <t>.  They should represent the gross millimeters needed IN ADDITION TO</t>
    </r>
  </si>
  <si>
    <t>2 - Just beginning either billing or record keeping of turnout deliveries.</t>
  </si>
  <si>
    <t>1 - Computers are used effectively for some data management on the project (such as flows down canals, dam releases), but not for billing</t>
  </si>
  <si>
    <t>0 - No significant usage of computers for billing and record management</t>
  </si>
  <si>
    <t xml:space="preserve">3 - A few key structures are automated with computer controls. </t>
  </si>
  <si>
    <t>2 - Computers are effectively used to predict water flows, gate positions, daily diversions, or other values.  Open loop control.  Output is used in the field and is meaningful.</t>
  </si>
  <si>
    <t>1 - Computers are used to predict some key control factors, but they are quite ineffective or give erroneous results.</t>
  </si>
  <si>
    <t>0 - No computers are really used for canal operation.</t>
  </si>
  <si>
    <t>3 - Easy and quick to physically operate, but requires many manual interventions per structure per day to meet target.</t>
  </si>
  <si>
    <t>2 - Cumbersome to operate, but physically possible.  Requires more than 5 manual changes per structure per day to meet target, but is difficult or dangerous to operate.</t>
  </si>
  <si>
    <t>1 - Cumbersome, difficult, or dangerous to operate.  In some cases it is almost physically impossible to meet objectives.</t>
  </si>
  <si>
    <t>0 - Communications and hardware are very inadequate to meet the requirements.  Almost impossible to operate as intended.</t>
  </si>
  <si>
    <t>4 - Excellent preventative maintenance.  Broken items are typically fixed within a few days, except in very unusual circumstances.</t>
  </si>
  <si>
    <t>3 - Decent preventative maintenance.  Broken items are fixed within 2 weeks.  Reasonable equipment is available for maintenance operations.</t>
  </si>
  <si>
    <t>2 - Routine maintenance is only done on critical items.  Broken items are noticeable throughout the project, but not serious.</t>
  </si>
  <si>
    <t>1 - Even routine maintenance is lacking in many cases.  Many broken items are noticeable, sometimes on important structures.</t>
  </si>
  <si>
    <t>0 - Large-scale damage has occurred due to deferred maintenance.  Little or no maintenance equipment is in working order.</t>
  </si>
  <si>
    <t>Unintended weekly maximum controlled water surface variation in an average gate, cm</t>
  </si>
  <si>
    <t>Typical change in water surface elevations across an off-take (main turnout), cm</t>
  </si>
  <si>
    <t>Maximum unintended weekly fluctuation of target water levels in the canal, expressed as a percentage of the average water level drop across a turnout.  For example, if the water level in the canal varies by 40 cm (highest to lowest level at a point), and the average change in water level across a turnout is 50 cm, the percentage variation is 90%.  This is calculated automatically from the other data.</t>
  </si>
  <si>
    <r>
      <t xml:space="preserve">How often do operators communicate with the next </t>
    </r>
    <r>
      <rPr>
        <u val="single"/>
        <sz val="9"/>
        <rFont val="Times New Roman"/>
        <family val="1"/>
      </rPr>
      <t>higher</t>
    </r>
    <r>
      <rPr>
        <sz val="9"/>
        <rFont val="Times New Roman"/>
        <family val="1"/>
      </rPr>
      <t xml:space="preserve"> level? (hr)</t>
    </r>
  </si>
  <si>
    <r>
      <t xml:space="preserve">How often do operators or supervisors of this level communicate with the next </t>
    </r>
    <r>
      <rPr>
        <u val="single"/>
        <sz val="9"/>
        <rFont val="Times New Roman"/>
        <family val="1"/>
      </rPr>
      <t>lower</t>
    </r>
    <r>
      <rPr>
        <sz val="9"/>
        <rFont val="Times New Roman"/>
        <family val="1"/>
      </rPr>
      <t xml:space="preserve"> level? (hr)</t>
    </r>
  </si>
  <si>
    <t>Computed Index of communications frequency (0-4)</t>
  </si>
  <si>
    <t>1 -    16-25% along this canal.</t>
  </si>
  <si>
    <t>0 - Extremely high levels of undesired seepage.  Provides severe limitations to deliveries.</t>
  </si>
  <si>
    <t>2 -    Most maintenance equipment functions, and the staff is large enough to reach critical items in a week or so.  Other items often wait a year or more for maintenance.</t>
  </si>
  <si>
    <t>4 - Excellent maintenance equipment and organization of people.</t>
  </si>
  <si>
    <t>1 -    Minimal equipment and staff.  Critical equipment works, but much of the equipment does not.  Staff are poorly trained, not motivated, or are insufficient in size.</t>
  </si>
  <si>
    <t>Travel time from the maintenance yard to the most distant point along this canal (for crews and maintenance equipment) - hours</t>
  </si>
  <si>
    <t>Various indices for Water User Associations (use the information above to answer these questions)</t>
  </si>
  <si>
    <t>Percentage of all project users who have a functional, formal unit that participates in water distribution</t>
  </si>
  <si>
    <t>3 - Changes can be made according to the WUA request with a one week advance notice - any flow rate, duration, or frequency that is physically possible.</t>
  </si>
  <si>
    <t>4 - Within the capacity of the supply canal, changes are made according to the WUA request within 1 day of advance notice as a standard practice.</t>
  </si>
  <si>
    <t>2 - Changes can be made according to the WUA request with a one week advance notice, but the changes are limited (less than what is probably physically possible).</t>
  </si>
  <si>
    <t>1 - The WUAs have no realistic voice in ordering, except for occasional changes.  Perhaps they have a formal meeting a few times a year and express their desires.</t>
  </si>
  <si>
    <t>0 - No one listens to them.</t>
  </si>
  <si>
    <t>Distribution of water in its area</t>
  </si>
  <si>
    <t>Check:  This value should equal 100 after the "Country" and "Foreign" answers are given.</t>
  </si>
  <si>
    <t>Table 4 - Internal Surface Irrigation Water Sources</t>
  </si>
  <si>
    <t>Table 5 - Hectares of Each Crop in the Command Area, by Month</t>
  </si>
  <si>
    <t>Total in-kind</t>
  </si>
  <si>
    <t>What annual value of in-kind services or contributions are provided by water users above point of ownership (equivalent local currency) for the total project?</t>
  </si>
  <si>
    <t>Do uncontrolled drain flows enter the canal? (Yes/No)</t>
  </si>
  <si>
    <t>0 - No apparent maintained access on either side of the road, for very long sections of this canal.</t>
  </si>
  <si>
    <t>4 - Excellent.</t>
  </si>
  <si>
    <t>In reality, do gate operators make adjustments without upper approval?</t>
  </si>
  <si>
    <t>Minutes required for an operator to make a significant setting change on the gate</t>
  </si>
  <si>
    <t>How frequently (hrs) will an operator move a gate if required or instructed?</t>
  </si>
  <si>
    <t>In months with water, what is the maximum number of days of no gate change?</t>
  </si>
  <si>
    <t>How is communication done?  (explain)</t>
  </si>
  <si>
    <t>By employees of the government or umbrella organization</t>
  </si>
  <si>
    <t>By employees of water user associations - within their boundaries</t>
  </si>
  <si>
    <r>
      <t>Project Budget - Does</t>
    </r>
    <r>
      <rPr>
        <b/>
        <u val="single"/>
        <sz val="10"/>
        <rFont val="Times New Roman"/>
        <family val="1"/>
      </rPr>
      <t xml:space="preserve"> not</t>
    </r>
    <r>
      <rPr>
        <b/>
        <sz val="10"/>
        <rFont val="Times New Roman"/>
        <family val="1"/>
      </rPr>
      <t xml:space="preserve"> include Water User Associations, unless a WUA operates the main canal(s)</t>
    </r>
  </si>
  <si>
    <r>
      <t>Annual</t>
    </r>
    <r>
      <rPr>
        <u val="single"/>
        <sz val="9"/>
        <rFont val="Times New Roman"/>
        <family val="1"/>
      </rPr>
      <t xml:space="preserve">  Project Budget (average over the last 5 years)</t>
    </r>
  </si>
  <si>
    <t>Umbrella Water User Association (WUA)</t>
  </si>
  <si>
    <t>4 - Wide range of frequency, rate, and duration, but the schedule is arranged by the downstream subcanals several times daily, based on actual need.</t>
  </si>
  <si>
    <t>3 - Wide range of frequency, rate, and duration but arranged by the downstream canal once/day based on actual need.</t>
  </si>
  <si>
    <r>
      <t xml:space="preserve">2 - Schedules are adjusted weekly by </t>
    </r>
    <r>
      <rPr>
        <u val="single"/>
        <sz val="9"/>
        <rFont val="Times New Roman"/>
        <family val="1"/>
      </rPr>
      <t>downstream</t>
    </r>
    <r>
      <rPr>
        <sz val="9"/>
        <rFont val="Times New Roman"/>
        <family val="1"/>
      </rPr>
      <t xml:space="preserve"> operators</t>
    </r>
  </si>
  <si>
    <t>1 - The schedules are dictated by the project office.  Changes are made at least weekly.</t>
  </si>
  <si>
    <t>Value (0-4)</t>
  </si>
  <si>
    <t>Turnout density</t>
  </si>
  <si>
    <t>Number of water users downstream of employee-operated turnouts</t>
  </si>
  <si>
    <t>I-35</t>
  </si>
  <si>
    <t>I-36</t>
  </si>
  <si>
    <t>Turnouts/Operator</t>
  </si>
  <si>
    <t>(Number of turnouts operated by paid employees)/(Paid Employees)</t>
  </si>
  <si>
    <t>Project Office</t>
  </si>
  <si>
    <t>I-37</t>
  </si>
  <si>
    <t>Main Canal Chaos</t>
  </si>
  <si>
    <t>I-38</t>
  </si>
  <si>
    <t>Second Level Chaos</t>
  </si>
  <si>
    <t>I-39</t>
  </si>
  <si>
    <t>Field Level Chaos</t>
  </si>
  <si>
    <t>(Actual/Stated) Overall Service by the Main Canal</t>
  </si>
  <si>
    <t>(Actual/Stated) Overall Service to the Individual Ownership Units</t>
  </si>
  <si>
    <t>Total of all WUA Budgets (sum of previous 6 items)</t>
  </si>
  <si>
    <t>Salaries - These should include the equivalent worth of benefits, housing, etc. that are provided.</t>
  </si>
  <si>
    <t>How are water charges collected? - select one of the 3 choices below</t>
  </si>
  <si>
    <t xml:space="preserve">2.  None collected, although policy says charges are to be collected </t>
  </si>
  <si>
    <t>1.  None collected, and none are assessed</t>
  </si>
  <si>
    <t xml:space="preserve">3. They are collected </t>
  </si>
  <si>
    <t xml:space="preserve">What group collects the water charges? (Choose 1, 2, or 3) </t>
  </si>
  <si>
    <t>1.  From individual users by the government or central organization</t>
  </si>
  <si>
    <t>2.  From individual users by a WUA</t>
  </si>
  <si>
    <t>3.  Other</t>
  </si>
  <si>
    <t>If per irrigation, specify the (Local currency)/irrigation</t>
  </si>
  <si>
    <t>Estimated total annual water charges collected from farmers throughout the whole project, (Local currency)/year - not including in-kind fees</t>
  </si>
  <si>
    <t>Does there appear to be an adequate density of drains? (10=very adequate, 1=completely lacking where needed)</t>
  </si>
  <si>
    <t>Longest water travel time for a change to reach a delivery point of this canal level from the source or from a buffer reservoir (hours)   - i.e., water travel time to the most downstream delivery</t>
  </si>
  <si>
    <t>3 -   Equipment and number of people are reasonable to do the job, but there are some organizational problems.</t>
  </si>
  <si>
    <r>
      <t>RWS</t>
    </r>
    <r>
      <rPr>
        <sz val="14"/>
        <rFont val="Arial"/>
        <family val="2"/>
      </rPr>
      <t xml:space="preserve">  </t>
    </r>
    <r>
      <rPr>
        <u val="single"/>
        <sz val="14"/>
        <rFont val="Arial"/>
        <family val="2"/>
      </rPr>
      <t>Relative water supply</t>
    </r>
    <r>
      <rPr>
        <sz val="14"/>
        <rFont val="Arial"/>
        <family val="2"/>
      </rPr>
      <t xml:space="preserve"> for the irrigated part of the command area          (Total external water supply)/(Field ET during growing seasons + water for salt control - Effective precipitation)</t>
    </r>
  </si>
  <si>
    <r>
      <t>RGCC</t>
    </r>
    <r>
      <rPr>
        <sz val="14"/>
        <rFont val="Arial"/>
        <family val="2"/>
      </rPr>
      <t xml:space="preserve"> - </t>
    </r>
    <r>
      <rPr>
        <u val="single"/>
        <sz val="14"/>
        <rFont val="Arial"/>
        <family val="2"/>
      </rPr>
      <t>Relative Gross Canal Capacity</t>
    </r>
    <r>
      <rPr>
        <sz val="14"/>
        <rFont val="Arial"/>
        <family val="2"/>
      </rPr>
      <t xml:space="preserve"> -    (Peak Monthly Net Irrigation Requirement)/(Main Canal Capacity)</t>
    </r>
  </si>
  <si>
    <r>
      <t xml:space="preserve">Annual </t>
    </r>
    <r>
      <rPr>
        <b/>
        <u val="single"/>
        <sz val="14"/>
        <rFont val="Arial"/>
        <family val="2"/>
      </rPr>
      <t>Command Area Irrigation Efficiency</t>
    </r>
    <r>
      <rPr>
        <sz val="14"/>
        <rFont val="Arial"/>
        <family val="2"/>
      </rPr>
      <t xml:space="preserve">       [100 x (Crop ET + Leaching needs - Effective ppt)/(Surface irrigation diversions + Net groundwater)]</t>
    </r>
  </si>
  <si>
    <r>
      <t>RACF</t>
    </r>
    <r>
      <rPr>
        <sz val="14"/>
        <rFont val="Arial"/>
        <family val="2"/>
      </rPr>
      <t xml:space="preserve"> - </t>
    </r>
    <r>
      <rPr>
        <u val="single"/>
        <sz val="14"/>
        <rFont val="Arial"/>
        <family val="2"/>
      </rPr>
      <t>Relative Actual Canal Flow</t>
    </r>
    <r>
      <rPr>
        <sz val="14"/>
        <rFont val="Arial"/>
        <family val="2"/>
      </rPr>
      <t xml:space="preserve"> -   (Peak Monthly Net Irrigation Requirement)/(Peak Main Canal Flow Rate)</t>
    </r>
  </si>
  <si>
    <t xml:space="preserve">The value to the right should equal 100 once the data above is entered </t>
  </si>
  <si>
    <t>Level of maintenance of the turnouts that supply the next lower level.(0-4)</t>
  </si>
  <si>
    <t>Flow rate capacities of the main canal turnouts (to the next lower level) (0-4)</t>
  </si>
  <si>
    <t>Officially, can offtake operators make flow rate adjustments without upper approval? (Yes/No)</t>
  </si>
  <si>
    <t>In reality, do offtake operators make flow rate adjustments without upper approval? (Yes/No)</t>
  </si>
  <si>
    <t>Gross annual tonnage of agricultural production by crop type</t>
  </si>
  <si>
    <r>
      <t xml:space="preserve">Weighted </t>
    </r>
    <r>
      <rPr>
        <u val="single"/>
        <sz val="14"/>
        <rFont val="Arial"/>
        <family val="2"/>
      </rPr>
      <t>field</t>
    </r>
    <r>
      <rPr>
        <sz val="14"/>
        <rFont val="Arial"/>
        <family val="2"/>
      </rPr>
      <t xml:space="preserve"> irrigation efficiency from stated efficiencies</t>
    </r>
  </si>
  <si>
    <r>
      <t xml:space="preserve">Surface </t>
    </r>
    <r>
      <rPr>
        <u val="single"/>
        <sz val="14"/>
        <rFont val="Arial"/>
        <family val="2"/>
      </rPr>
      <t>irrigation</t>
    </r>
    <r>
      <rPr>
        <sz val="14"/>
        <rFont val="Arial"/>
        <family val="2"/>
      </rPr>
      <t xml:space="preserve"> water inflow from outside the </t>
    </r>
    <r>
      <rPr>
        <u val="single"/>
        <sz val="14"/>
        <rFont val="Arial"/>
        <family val="2"/>
      </rPr>
      <t>command</t>
    </r>
    <r>
      <rPr>
        <sz val="14"/>
        <rFont val="Arial"/>
        <family val="2"/>
      </rPr>
      <t xml:space="preserve"> area (gross at diversion and entry points)</t>
    </r>
  </si>
  <si>
    <r>
      <t>Effective</t>
    </r>
    <r>
      <rPr>
        <sz val="14"/>
        <rFont val="Arial"/>
        <family val="2"/>
      </rPr>
      <t xml:space="preserve"> precipitation to irrigated fields (not including salinity removal)</t>
    </r>
  </si>
  <si>
    <r>
      <t xml:space="preserve">Net aquifer </t>
    </r>
    <r>
      <rPr>
        <u val="single"/>
        <sz val="14"/>
        <rFont val="Arial"/>
        <family val="2"/>
      </rPr>
      <t>withdrawl</t>
    </r>
    <r>
      <rPr>
        <sz val="14"/>
        <rFont val="Arial"/>
        <family val="2"/>
      </rPr>
      <t xml:space="preserve"> due to irrigation in the command area</t>
    </r>
  </si>
  <si>
    <r>
      <t xml:space="preserve">Flow rate </t>
    </r>
    <r>
      <rPr>
        <u val="single"/>
        <sz val="14"/>
        <rFont val="Arial"/>
        <family val="2"/>
      </rPr>
      <t>capacity</t>
    </r>
    <r>
      <rPr>
        <sz val="14"/>
        <rFont val="Arial"/>
        <family val="2"/>
      </rPr>
      <t xml:space="preserve"> of main canal(s) at diversion point(s)</t>
    </r>
  </si>
  <si>
    <t>RAP 9</t>
  </si>
  <si>
    <t>RAP 20</t>
  </si>
  <si>
    <t>What percentage of the total project (including WUA) Operation and Maintenance (O&amp;M) is collected as in-kind services, and/or water fees from water users?</t>
  </si>
  <si>
    <t>Later observation - How closely is this instruction followed in the field (10=Excellent, 1=Not followed)?</t>
  </si>
  <si>
    <t>If yes, how well is it followed in the field (10=Excellent, 1=Not followed)</t>
  </si>
  <si>
    <t>If yes, how well is it followed (10=Excellent, 1 = Not followed)</t>
  </si>
  <si>
    <t>If yes, how well is it followed (10=Excellent, 1=Not followed)</t>
  </si>
  <si>
    <t>Adequacy of the actual dollars and in-kind services that is available (from all sources) to sustain adequate Operation and Maintenance (O&amp;M) with the present mode of operation.</t>
  </si>
  <si>
    <t>Adequacy of spending on modernization of the water delivery operation/structures (as contrasted to rehabilitation or regular operation)</t>
  </si>
  <si>
    <t>I-26A</t>
  </si>
  <si>
    <t>I-26B</t>
  </si>
  <si>
    <t>I-26C</t>
  </si>
  <si>
    <t>I-26</t>
  </si>
  <si>
    <t>Project Employees</t>
  </si>
  <si>
    <t>I-24E</t>
  </si>
  <si>
    <t>I-24F</t>
  </si>
  <si>
    <t>Relative salary of an operator compared to a day laborer</t>
  </si>
  <si>
    <t>I-27</t>
  </si>
  <si>
    <t>I-27A</t>
  </si>
  <si>
    <t>I-27B</t>
  </si>
  <si>
    <t>I-27C</t>
  </si>
  <si>
    <t>I-27D</t>
  </si>
  <si>
    <t>I-27E</t>
  </si>
  <si>
    <t>I-27F</t>
  </si>
  <si>
    <t>Water User Associations</t>
  </si>
  <si>
    <t>WUA</t>
  </si>
  <si>
    <t>I-28</t>
  </si>
  <si>
    <t>I-28A</t>
  </si>
  <si>
    <t>I-28B</t>
  </si>
  <si>
    <t>I-28C</t>
  </si>
  <si>
    <t>I-28D</t>
  </si>
  <si>
    <t>I-28E</t>
  </si>
  <si>
    <t>I-25E</t>
  </si>
  <si>
    <t xml:space="preserve">Actual ability of the strong Water User Associations to influence real-time water deliveries to the WUA.  </t>
  </si>
  <si>
    <t xml:space="preserve">Ability of the WUA to rely on effective outside help for enforcement of its rules  </t>
  </si>
  <si>
    <t xml:space="preserve">Legal basis for the WUAs </t>
  </si>
  <si>
    <t xml:space="preserve">Financial strength of WUAS </t>
  </si>
  <si>
    <t>Mobility and Size of Operations Staff</t>
  </si>
  <si>
    <t>The extent to which computers (either central or on-site) are used for canal control</t>
  </si>
  <si>
    <t>The extent to which computers are used for billing and record management</t>
  </si>
  <si>
    <t>Computed index of operation staff mobility and efficiency</t>
  </si>
  <si>
    <t>Operation staff mobility and efficiency, based on the ratio of operating staff to the number of turnouts.</t>
  </si>
  <si>
    <t>Computers for billing and record management</t>
  </si>
  <si>
    <t>Computers for canal control</t>
  </si>
  <si>
    <t>I-29</t>
  </si>
  <si>
    <t>I-30</t>
  </si>
  <si>
    <t>I-31</t>
  </si>
  <si>
    <t>INDICATORS THAT WERE NOT PREVIOUSLY COMPUTED</t>
  </si>
  <si>
    <t>I-32</t>
  </si>
  <si>
    <t>Ability  of the present water delivery service to individual fields, to support pressurized irrigation methods</t>
  </si>
  <si>
    <t>Measurement and control of volumes to the field</t>
  </si>
  <si>
    <t>Flexibility to the field</t>
  </si>
  <si>
    <t xml:space="preserve"> Describe any flow rate restrictions in the Second Level Canal, including their location and hydraulic nature (this is different than most other questions because it asks for a written description)                                                           </t>
  </si>
  <si>
    <t xml:space="preserve"> Describe any flow rate restrictions in the Third Level Canal, including their location and hydraulic nature (this is different than most other questions because it asks for a written description)                                                           </t>
  </si>
  <si>
    <t>1 - Employees are not supposed to do any significant tasks without prior authorization.  However, if they do take the initiative they are not punished.</t>
  </si>
  <si>
    <t>0 -  Employees are not supposed to do any signficant tasks without prior authorization.  They think they will be reprimande if they do something on their own initiative.</t>
  </si>
  <si>
    <t>Ability of the project to dismiss employees with cause.</t>
  </si>
  <si>
    <t>Rewards for ememplary service</t>
  </si>
  <si>
    <t>3 - Employees can be fired if the case is well documented.  It is a long process.  Employees are aware of other employees being fired when it was necessary.</t>
  </si>
  <si>
    <t>2 - Firing only happens occasionally due to laziness or serious problems.  It is not common.  Employees believe that it would be very unusual unless a person was VERY lazy for a long time.</t>
  </si>
  <si>
    <t>0 -  Employees are virtually never fired, even if they should be.  The system appears to be plagued with many people who are not necessary or who should be dismissed but are not.</t>
  </si>
  <si>
    <t>4 - There is a well designed program that follows a structured process.  Rewards occur at least annually to a significant number of individuals.  Promotions are given for meritorious service, and bonuses or extra benefits are given to those who are at the top of their grade.</t>
  </si>
  <si>
    <t>3 - No program, but people who do a good job are frequently promoted.  Promotion is based on merit.</t>
  </si>
  <si>
    <t>2 - Promotion is based on time in service, some some extra benefits are given for exemplary service.  This is more than just a piece of paper.</t>
  </si>
  <si>
    <t>1 - There are seldom awards, but occasionally it happens.  The awards are primarily paper with little or no cash or financial benefit.</t>
  </si>
  <si>
    <t>0 -  Nothing exists.</t>
  </si>
  <si>
    <t>Professional, senior admin, (Local currency/year)</t>
  </si>
  <si>
    <t>Professional, engineer  (Local currency/year)</t>
  </si>
  <si>
    <t>Non-professional - canal operators, (Local currency/year)</t>
  </si>
  <si>
    <t>Day laborers, (Local currency/year)</t>
  </si>
  <si>
    <t>Reliability to the field</t>
  </si>
  <si>
    <t>4 - Excellent volumetric metering and control;   3.5 - Ability to measure flow rates reasonably well, but not volume.  Flow is well controlled;  2.5 - Cannot measure flow, but can control flow rates well;  0 - Cannot control the flow rate, even though it can be measured.</t>
  </si>
  <si>
    <t>Continuous flow - some adjustments (%)</t>
  </si>
  <si>
    <t>General Project Conditions That Require Field Visits to be Described</t>
  </si>
  <si>
    <t>On the average, what percentage of this allocation is provided?    (%)</t>
  </si>
  <si>
    <r>
      <t xml:space="preserve">Number of offtakes (turnouts) that are physically operated by </t>
    </r>
    <r>
      <rPr>
        <b/>
        <u val="single"/>
        <sz val="9"/>
        <rFont val="Times New Roman"/>
        <family val="1"/>
      </rPr>
      <t>paid</t>
    </r>
    <r>
      <rPr>
        <sz val="9"/>
        <rFont val="Times New Roman"/>
        <family val="1"/>
      </rPr>
      <t xml:space="preserve"> employees.  These can be of any size.</t>
    </r>
  </si>
  <si>
    <t>If so, what is charge? (Local currency)</t>
  </si>
  <si>
    <t>Functions of a typical WUA (Yes/No answers)</t>
  </si>
  <si>
    <t>Gross revenue that is due from the water users, $US</t>
  </si>
  <si>
    <t>Average irrigation water salinity, dS/m</t>
  </si>
  <si>
    <t>Average drainage water salinity, dS/m</t>
  </si>
  <si>
    <t>Differences in the volume of incoming salt and outgoing salts</t>
  </si>
  <si>
    <t>Requires in-depth computations</t>
  </si>
  <si>
    <t>Drainage, and Salinity Information</t>
  </si>
  <si>
    <t>see note below</t>
  </si>
  <si>
    <t>3 - Managers appear to have excellent training, both upon entering employment and continuing afterwards.  But some important knowledge has not been passed down to the operators.</t>
  </si>
  <si>
    <t>2 - Training exists at all levels as needed, but evidently training does not go deep enough, because employees at all levels seem to be missing some important ideas.  Many employees have never had adequate training - including poor pre-employment backgrounds.</t>
  </si>
  <si>
    <t>1 - Only minimal training exists.  There is inattention to qualifications upon hiring.</t>
  </si>
  <si>
    <t>0 -  Virtually no training exists before or after hiring.</t>
  </si>
  <si>
    <t>Frequency and adequacy of training of operators and middle managers (not secretaries and drivers).  This should include employees at all levels of the distribution system, not only those who work in the office.</t>
  </si>
  <si>
    <t>Availability of written performance rules</t>
  </si>
  <si>
    <t>4 - Each employee has a written job description that spells out his/her job and specifies how he/she will be evaluated.  Evaluations are annual, and results are discussed with the employee.</t>
  </si>
  <si>
    <t>3 - There is a general written job description in the office.  There is an annual evaluation of performance, but it is not rigorous.</t>
  </si>
  <si>
    <t>1 - Firing rarely occurs, and never due to laziness.  It is extremely difficult to lay off excess personnel.</t>
  </si>
  <si>
    <t>Total (must equal 100)</t>
  </si>
  <si>
    <t>Number of fines levied by a typical active WUA in the past year</t>
  </si>
  <si>
    <t>ET-(Effective Rain), MCM</t>
  </si>
  <si>
    <t>Net MCM</t>
  </si>
  <si>
    <t>Rain, MCM</t>
  </si>
  <si>
    <t>(this is weighted between rice and other crops; you must complete Table 7 before a value is displayed)</t>
  </si>
  <si>
    <t>What Percentage of farmers participate in the in-kind services?</t>
  </si>
  <si>
    <t>Percentage of project area for which WUAS meet the following descriptions:</t>
  </si>
  <si>
    <t>Silt level in canals (1=high; 10=low)</t>
  </si>
  <si>
    <t>How effectively are they used for regulation? (10=Excellent, 1=Horrible)</t>
  </si>
  <si>
    <t>Condition of cross regulators (10=Excellent, 1=Horrible)</t>
  </si>
  <si>
    <t>Can the ones that exist operate as needed? (10=Excellent, 1=Horrible)</t>
  </si>
  <si>
    <t>Are they operated as theoretically intended?(10=Excellent, 1=Horrible)</t>
  </si>
  <si>
    <t>Can they physically operate as needed? (10=Excellent, 1=Horrible)</t>
  </si>
  <si>
    <t>Are they physically operated as theoretically intended?  (10=Excellent, 1=Horrible)</t>
  </si>
  <si>
    <t>General condition of project drains (10=Excellent, 1=Horrible)</t>
  </si>
  <si>
    <t>Do incentives exist for exemplary work?(10=high, 1=none)</t>
  </si>
  <si>
    <r>
      <t>Total MOM cost per unit volume of water delivered by the project authorities  (US$/m</t>
    </r>
    <r>
      <rPr>
        <vertAlign val="superscript"/>
        <sz val="10"/>
        <rFont val="Arial"/>
        <family val="2"/>
      </rPr>
      <t>3</t>
    </r>
    <r>
      <rPr>
        <sz val="10"/>
        <rFont val="Arial"/>
        <family val="0"/>
      </rPr>
      <t>)</t>
    </r>
  </si>
  <si>
    <t>Gross total annual volume of project authority irrigation supply.</t>
  </si>
  <si>
    <r>
      <t>Total revenue per unit volume of water delivered by project authorities (US$/m</t>
    </r>
    <r>
      <rPr>
        <vertAlign val="superscript"/>
        <sz val="10"/>
        <rFont val="Arial"/>
        <family val="2"/>
      </rPr>
      <t>3</t>
    </r>
    <r>
      <rPr>
        <sz val="10"/>
        <rFont val="Arial"/>
        <family val="0"/>
      </rPr>
      <t>)</t>
    </r>
  </si>
  <si>
    <t>Internal authority water sources are stated to have a conveyance efficiency of:</t>
  </si>
  <si>
    <r>
      <t>Annual external irrigation supply per unit command area (m</t>
    </r>
    <r>
      <rPr>
        <vertAlign val="superscript"/>
        <sz val="10"/>
        <rFont val="Arial"/>
        <family val="2"/>
      </rPr>
      <t>3</t>
    </r>
    <r>
      <rPr>
        <sz val="10"/>
        <rFont val="Arial"/>
        <family val="2"/>
      </rPr>
      <t>/ha)</t>
    </r>
  </si>
  <si>
    <r>
      <t xml:space="preserve">Total annual volume of </t>
    </r>
    <r>
      <rPr>
        <b/>
        <u val="single"/>
        <sz val="10"/>
        <rFont val="Arial"/>
        <family val="2"/>
      </rPr>
      <t>irrigation</t>
    </r>
    <r>
      <rPr>
        <sz val="10"/>
        <rFont val="Arial"/>
        <family val="0"/>
      </rPr>
      <t xml:space="preserve"> supply into the 3-D boundaries of the command area (MCM)</t>
    </r>
  </si>
  <si>
    <t>Total annual volume of irrigation water available at the user level (MCM)</t>
  </si>
  <si>
    <r>
      <t xml:space="preserve">Availability of water (surface plus ground) to </t>
    </r>
    <r>
      <rPr>
        <u val="single"/>
        <sz val="10"/>
        <rFont val="Arial"/>
        <family val="2"/>
      </rPr>
      <t>users</t>
    </r>
    <r>
      <rPr>
        <sz val="10"/>
        <rFont val="Arial"/>
        <family val="2"/>
      </rPr>
      <t xml:space="preserve"> - using stated conveyance efficiency for surface water and assumed efficiencies for ground water, MCM (includes all farmer pumping)</t>
    </r>
  </si>
  <si>
    <r>
      <t xml:space="preserve">Total annual volume of </t>
    </r>
    <r>
      <rPr>
        <u val="single"/>
        <sz val="10"/>
        <rFont val="Arial"/>
        <family val="2"/>
      </rPr>
      <t>irrigation water</t>
    </r>
    <r>
      <rPr>
        <sz val="10"/>
        <rFont val="Arial"/>
        <family val="0"/>
      </rPr>
      <t xml:space="preserve"> managed by </t>
    </r>
    <r>
      <rPr>
        <u val="single"/>
        <sz val="10"/>
        <rFont val="Arial"/>
        <family val="2"/>
      </rPr>
      <t>authorities</t>
    </r>
    <r>
      <rPr>
        <sz val="10"/>
        <rFont val="Arial"/>
        <family val="0"/>
      </rPr>
      <t xml:space="preserve"> (including internal well and recirculation pumps operated by authorities) (MCM)   (can include recirculated water; but does not include any drainage or groundwater that is pumped by farmers)</t>
    </r>
  </si>
  <si>
    <t>Measurement of volumes to the individual units  (0-4)</t>
  </si>
  <si>
    <t>Number of fields downstream (0-4)</t>
  </si>
  <si>
    <t>Apparent equity.</t>
  </si>
  <si>
    <t>Measurement of volumes</t>
  </si>
  <si>
    <r>
      <t>Actual</t>
    </r>
    <r>
      <rPr>
        <sz val="10"/>
        <rFont val="Arial"/>
        <family val="0"/>
      </rPr>
      <t xml:space="preserve"> Water Delivery Service to Individual Ownership Units (e.g., field or farm)</t>
    </r>
  </si>
  <si>
    <r>
      <t>Stated</t>
    </r>
    <r>
      <rPr>
        <sz val="10"/>
        <rFont val="Arial"/>
        <family val="0"/>
      </rPr>
      <t xml:space="preserve"> Water Delivery Service to Individual Ownership Units (e.g., field or farm)</t>
    </r>
  </si>
  <si>
    <t>Relative salary of the canal operators, as compared to a typical day laborer.  This is a computed value.</t>
  </si>
  <si>
    <t xml:space="preserve">Probable accuracy of Q control/meas., +/-% </t>
  </si>
  <si>
    <t>Number of wells feeding into the canal</t>
  </si>
  <si>
    <t>If so, what Percentage of these charges are collected?</t>
  </si>
  <si>
    <t>(ET - Effective Precipitation),   MCM</t>
  </si>
  <si>
    <t>Average Field Irrigation Efficiency, % (computed from ET and Gross)</t>
  </si>
  <si>
    <t>Estimated conveyance efficiency for pumped internal aquifer water, %</t>
  </si>
  <si>
    <t xml:space="preserve">       Est. of field irrigation efficiency computed from your earlier values:</t>
  </si>
  <si>
    <t>Irrigated crop area in the command area, including multiple cropping</t>
  </si>
  <si>
    <t>Physical area in hectares, NOT including multiple cropping</t>
  </si>
  <si>
    <t>Gross precipitation in the irrigated fields in the command area</t>
  </si>
  <si>
    <t>MCM ppt on irrigated fields in command</t>
  </si>
  <si>
    <t>"Internal" Water Sources</t>
  </si>
  <si>
    <t>Physical area of irrigated cropland in the command area (not including multiple cropping)</t>
  </si>
  <si>
    <t>Est. convey. effic. for internal project recirculation</t>
  </si>
  <si>
    <r>
      <t xml:space="preserve">General lack of </t>
    </r>
    <r>
      <rPr>
        <u val="single"/>
        <sz val="9"/>
        <rFont val="Times New Roman"/>
        <family val="1"/>
      </rPr>
      <t>undesired</t>
    </r>
    <r>
      <rPr>
        <sz val="9"/>
        <rFont val="Times New Roman"/>
        <family val="1"/>
      </rPr>
      <t xml:space="preserve"> seepage (note:  if deliberate conjunctive use is practiced, some seepage may be desired).  Assign a value of 0-4</t>
    </r>
  </si>
  <si>
    <t>Availability of proper equipment and staff to adequately maintain this canal</t>
  </si>
  <si>
    <t>Table 1 - Field Coefficients and Crop Threshold ECe</t>
  </si>
  <si>
    <t>Threshold</t>
  </si>
  <si>
    <t>ECe</t>
  </si>
  <si>
    <t>Field Coefficient, Kc  (based on ETo)</t>
  </si>
  <si>
    <t>Crop #</t>
  </si>
  <si>
    <t>Water year month --&gt;</t>
  </si>
  <si>
    <t>Irrigated Crop Name</t>
  </si>
  <si>
    <t>dS/m</t>
  </si>
  <si>
    <t>Paddy Rice #1</t>
  </si>
  <si>
    <t xml:space="preserve">         B.   For each crop, an estimate of the PERCENT of the precipitation that is effective, by month.</t>
  </si>
  <si>
    <t xml:space="preserve">                           - Stored in the root zone of the crop for use as ET in subsequent months, or</t>
  </si>
  <si>
    <t xml:space="preserve">                                                  0 - Flows are controlled within 25%</t>
  </si>
  <si>
    <t>Second Level Canal</t>
  </si>
  <si>
    <t>Control of Flows Into Second Level Canals</t>
  </si>
  <si>
    <t>Second Level Canal Characteristics</t>
  </si>
  <si>
    <t>Total length of Second Level Canals, km</t>
  </si>
  <si>
    <t>Length of longest Second Level Canal, km</t>
  </si>
  <si>
    <t>Total number of spill points for a typical Second Level Canal</t>
  </si>
  <si>
    <t>Lining type (percentage of all Second Level Canals)</t>
  </si>
  <si>
    <t>Second Level Canal Cross Regulators</t>
  </si>
  <si>
    <t>Internal Indicators for Second Level Canal Cross Regulator Hardware</t>
  </si>
  <si>
    <t>Second Level Canal Cross Regulator Personnel</t>
  </si>
  <si>
    <t>Second Level Canal Communications/Transportation</t>
  </si>
  <si>
    <t>Travel time (hours) needed to reach the office of the Second Level Canal, from the office of the supplier</t>
  </si>
  <si>
    <t>Second Level Canal Off-Takes (Turnouts)</t>
  </si>
  <si>
    <t>Scheduling of Flows From Second Level Canal Offtakes</t>
  </si>
  <si>
    <t>Control of Flows From Second Level Canal Offtakes</t>
  </si>
  <si>
    <t>Turnout Indicators (Second Level Canal)</t>
  </si>
  <si>
    <t>Flow rate capacities of the Second Level Canal turnouts (to the next lower level) (0-4)</t>
  </si>
  <si>
    <t xml:space="preserve"> Regulating Reservoir Indicators (Second Level Canal)</t>
  </si>
  <si>
    <t>Operation (Second Level Canal)</t>
  </si>
  <si>
    <t>Capacity "bottlenecks" in the Second Level Canal</t>
  </si>
  <si>
    <t>ACTUAL Service that the Second Level Canal Provides to its Subcanals</t>
  </si>
  <si>
    <t>Flow rate capacities of the Third Level Canal turnouts (to the next lower level) (0-4)</t>
  </si>
  <si>
    <t>Procedures, Management</t>
  </si>
  <si>
    <t>Level of maintenance of the cross regulators. (0-4)</t>
  </si>
  <si>
    <t>Dependability of voice communications by the operators (by phone or radio) (0-4)</t>
  </si>
  <si>
    <r>
      <t xml:space="preserve">Existence and frequency of remote monitoring (either automatic or manual) at key </t>
    </r>
    <r>
      <rPr>
        <b/>
        <u val="single"/>
        <sz val="9"/>
        <rFont val="Times New Roman"/>
        <family val="1"/>
      </rPr>
      <t>spill</t>
    </r>
    <r>
      <rPr>
        <sz val="9"/>
        <rFont val="Times New Roman"/>
        <family val="1"/>
      </rPr>
      <t xml:space="preserve"> points, including the end of the canal. (0-4)</t>
    </r>
  </si>
  <si>
    <t>Availability of roads along the canal (0-4)</t>
  </si>
  <si>
    <t>Computed index of travel time for maintenance (0-4).</t>
  </si>
  <si>
    <t>Suitability of the number of location(s) (0-4)</t>
  </si>
  <si>
    <t>Effectiveness of operation (0-4)</t>
  </si>
  <si>
    <t>Suitability of the storage/buffer capacities (0-4)</t>
  </si>
  <si>
    <t>Maintenance (0-4)</t>
  </si>
  <si>
    <t>Operation (Main Canal)</t>
  </si>
  <si>
    <t>4 - If there is an excess or deficit (spill or deficit at the tail ends), the headworks responds within 12 hours.</t>
  </si>
  <si>
    <t>2.7 - Headworks responds to real-time feedback observations within 24 hours</t>
  </si>
  <si>
    <t>1.3 - Headworks responds within 3 days.</t>
  </si>
  <si>
    <t>0 - Headworks responds in a time of greater than 3 days.</t>
  </si>
  <si>
    <t>4 - Excellent.  Information passes from the lower level to this level in a timely and reliable manner, and the system then responds.</t>
  </si>
  <si>
    <t>How frequently does the headworks respond to realistic real time feedback from the operators/observers of this canal level? This question deals with a mismatch of orders, and problems associated with wedge storage variations and wave travel times.   Assign a value of 0-4 based on the descriptions below</t>
  </si>
  <si>
    <t>Existence and effectiveness of water ordering/delivery procedures to match actual demands.  This is different than the previous question, because the previous question dealt with problems that occur AFTER a change has been made.</t>
  </si>
  <si>
    <t>2.7 -Good.  Reliable procedure.  Updated at least once every 2 days, and the system responds.</t>
  </si>
  <si>
    <t>Currency</t>
  </si>
  <si>
    <t>Country or State Government</t>
  </si>
  <si>
    <t>Total salaries (Local currency/year)</t>
  </si>
  <si>
    <t>Improvement of structures, modernization (including salaries) - local currency/year</t>
  </si>
  <si>
    <t>Sources of the Project Budget (average over the last 5 years), % from each source</t>
  </si>
  <si>
    <t>Calculated Indicator of O&amp;M sources (automatic computation)</t>
  </si>
  <si>
    <t>Calculated Indicator of O&amp;M adequacy (automatic computation)</t>
  </si>
  <si>
    <t>Chemical Oxygen Demand (COD) of the irrigation water, average mgm/L</t>
  </si>
  <si>
    <t>Chemical Oxygen Demand (COD) of the drainage water, average mgm/L</t>
  </si>
  <si>
    <t>Biological load (BOD) of the irrigation water, average mgm/L</t>
  </si>
  <si>
    <t>Biological load (BOD) of the drainage water, average mgm/L</t>
  </si>
  <si>
    <r>
      <t xml:space="preserve">Surface </t>
    </r>
    <r>
      <rPr>
        <u val="single"/>
        <sz val="10"/>
        <rFont val="Arial"/>
        <family val="2"/>
      </rPr>
      <t>irrigation</t>
    </r>
    <r>
      <rPr>
        <sz val="10"/>
        <rFont val="Arial"/>
        <family val="2"/>
      </rPr>
      <t xml:space="preserve"> water inflow from outside the command area (gross at diversion and entry points), MCM</t>
    </r>
  </si>
  <si>
    <t>Flow rate capacity of main canal(s) at diversion point(s), cms</t>
  </si>
  <si>
    <t>Peak gross irrigation requirement, including all inefficiencies, cms</t>
  </si>
  <si>
    <t>Total annual value of agricultural production at the farm gate, $US</t>
  </si>
  <si>
    <t>Gross annual agricultural production, tons</t>
  </si>
  <si>
    <t>"Guidelines for Benchmarking Performance in the Irrigation and Drainage Sector", December 2000.</t>
  </si>
  <si>
    <t>Description</t>
  </si>
  <si>
    <t>Gross revenue collected from water users, including in-kind services.  $US</t>
  </si>
  <si>
    <t>Total management, operation and maintenance cost of project.  $US</t>
  </si>
  <si>
    <t>Rehabilitation (including salaries and external contracts)</t>
  </si>
  <si>
    <t>Total number of spill points for a typical Third Level Canal</t>
  </si>
  <si>
    <t>Lining type (percentage of all Third Level Canals)</t>
  </si>
  <si>
    <t>Internal Indicators for Third Level Canal Cross Regulator Hardware</t>
  </si>
  <si>
    <t>Turnout Indicators (Third Level Canal)</t>
  </si>
  <si>
    <t xml:space="preserve"> Regulating Reservoir Indicators (Third Level Canal)</t>
  </si>
  <si>
    <t>Capacity "bottlenecks" in the Third Level Canal</t>
  </si>
  <si>
    <t>ACTUAL Service that the Third Level Canal Provides to its Subcanals</t>
  </si>
  <si>
    <t>Check:  The value on the right should equal 100% if the question above is answered properly</t>
  </si>
  <si>
    <t>Are there written arrangements/policies for FREQUENCY of water delivery? (Yes/No)</t>
  </si>
  <si>
    <t>Are there written arrangements/policies for RATE of water delivery? (Yes/No)</t>
  </si>
  <si>
    <t>Are there written arrangements/policies for DURATION of water delivery?   (Yes/No)</t>
  </si>
  <si>
    <t>Is there an effective legal mechanism to ensure that individual farmers receive water with equity?   (Yes/No)</t>
  </si>
  <si>
    <t>3 - Areas of the project receive the same amounts of water, but within an area the water delivery service is somewhat inequitable.</t>
  </si>
  <si>
    <t>2 - Areas of the project unintentionally receive somewhat different amounts of water (unintentionally), but within an area the water delivery service is equitable.</t>
  </si>
  <si>
    <r>
      <t xml:space="preserve">Degree to which deliveries are </t>
    </r>
    <r>
      <rPr>
        <b/>
        <u val="single"/>
        <sz val="9"/>
        <rFont val="Times New Roman"/>
        <family val="1"/>
      </rPr>
      <t>NOT</t>
    </r>
    <r>
      <rPr>
        <sz val="9"/>
        <rFont val="Times New Roman"/>
        <family val="1"/>
      </rPr>
      <t xml:space="preserve"> taken </t>
    </r>
    <r>
      <rPr>
        <u val="single"/>
        <sz val="9"/>
        <rFont val="Times New Roman"/>
        <family val="1"/>
      </rPr>
      <t>when</t>
    </r>
    <r>
      <rPr>
        <sz val="9"/>
        <rFont val="Times New Roman"/>
        <family val="1"/>
      </rPr>
      <t xml:space="preserve"> not allowed, or NOT taken at flow rates </t>
    </r>
    <r>
      <rPr>
        <u val="single"/>
        <sz val="9"/>
        <rFont val="Times New Roman"/>
        <family val="1"/>
      </rPr>
      <t>greater than</t>
    </r>
    <r>
      <rPr>
        <sz val="9"/>
        <rFont val="Times New Roman"/>
        <family val="1"/>
      </rPr>
      <t xml:space="preserve"> allowed (0-4)</t>
    </r>
  </si>
  <si>
    <t xml:space="preserve">2.  The majority of the values on this worksheet are automatically transferred from previous worksheets in this spreadsheet.  </t>
  </si>
  <si>
    <t>I-1B</t>
  </si>
  <si>
    <t>I-1C</t>
  </si>
  <si>
    <t>I-1D</t>
  </si>
  <si>
    <t>I-2</t>
  </si>
  <si>
    <t>I-2A</t>
  </si>
  <si>
    <t>I-2B</t>
  </si>
  <si>
    <t>I-2C</t>
  </si>
  <si>
    <t>I-2D</t>
  </si>
  <si>
    <t>Project Office Questions</t>
  </si>
  <si>
    <r>
      <t xml:space="preserve">Stated Water Delivery </t>
    </r>
    <r>
      <rPr>
        <b/>
        <i/>
        <u val="single"/>
        <sz val="9"/>
        <rFont val="Times New Roman"/>
        <family val="1"/>
      </rPr>
      <t>Service provided at the most downstream point operated by a paid employee.</t>
    </r>
  </si>
  <si>
    <r>
      <t>Stated</t>
    </r>
    <r>
      <rPr>
        <b/>
        <i/>
        <u val="single"/>
        <sz val="9"/>
        <rFont val="Times New Roman"/>
        <family val="1"/>
      </rPr>
      <t xml:space="preserve"> Water Delivery Service that the </t>
    </r>
    <r>
      <rPr>
        <b/>
        <i/>
        <u val="single"/>
        <sz val="14"/>
        <rFont val="Times New Roman"/>
        <family val="1"/>
      </rPr>
      <t>Main Canal</t>
    </r>
    <r>
      <rPr>
        <b/>
        <i/>
        <u val="single"/>
        <sz val="9"/>
        <rFont val="Times New Roman"/>
        <family val="1"/>
      </rPr>
      <t xml:space="preserve"> Provides to its Subcanals</t>
    </r>
  </si>
  <si>
    <r>
      <t>Actual</t>
    </r>
    <r>
      <rPr>
        <sz val="10"/>
        <rFont val="Arial"/>
        <family val="0"/>
      </rPr>
      <t xml:space="preserve"> Water Delivery Service at the most downstream point in the system operated by a paid employee</t>
    </r>
  </si>
  <si>
    <t>Is there a special charge for private well usage? (Yes/No)</t>
  </si>
  <si>
    <t>a.  Labor (Local currency value)</t>
  </si>
  <si>
    <t>b.  Crop (Local currency value)</t>
  </si>
  <si>
    <t>c.  Construction materials (Local currency value)</t>
  </si>
  <si>
    <t>d.  Other (Local currency value)</t>
  </si>
  <si>
    <t>Frequency of in-kind services (Number of times per year)</t>
  </si>
  <si>
    <t>Automatically calculated index value (0-4)</t>
  </si>
  <si>
    <t>Project Name:</t>
  </si>
  <si>
    <t>Probably accuracy of Flow control AND measurement, +/- %</t>
  </si>
  <si>
    <t>Approximate canal invert slope, %</t>
  </si>
  <si>
    <t>Total annual volume of ground water pumped within/to command area (MCM)</t>
  </si>
  <si>
    <t>Total annual volume of irrigation water delivered to users by project authorities (MCM)</t>
  </si>
  <si>
    <r>
      <t xml:space="preserve"> Describe any flow rate restrictions in the Main Canal, including their location and hydraulic nature (this is different than most other questions because it asks for a written description)                                                                                                                                                 </t>
    </r>
  </si>
  <si>
    <t>Continuous flow - no adjustments (%)</t>
  </si>
  <si>
    <t>1 - Inadequate, but enough funds to replace and maintain key structures.  Insufficient funds to do much of the basic maintenance needed..</t>
  </si>
  <si>
    <t>Gross annual volume of irrigation water entitlement, MCM</t>
  </si>
  <si>
    <t>Chemical Oxygen Demand (COD) of the irrigation water, average mgm/l</t>
  </si>
  <si>
    <t>Chemical Oxygen Demand (COD) of the drainage water, average mgm/l</t>
  </si>
  <si>
    <t>Biological load (BOD) of the drainage water, average mgm/l</t>
  </si>
  <si>
    <t>Biological load (BOD) of the irrigation water, average mgm/l</t>
  </si>
  <si>
    <t>IPTRID Indicators (computed from the values above)</t>
  </si>
  <si>
    <t>**Note - IPTRID indicators may not equal the RAP indicators of the same name because the RAP indicators reflect recent USA understanding of terminology for transferrable indicators.</t>
  </si>
  <si>
    <t>Total annual NET groundwater pumping, MCM</t>
  </si>
  <si>
    <t>Crop ET - Effective Rainfall, MCM</t>
  </si>
  <si>
    <t>DI 25</t>
  </si>
  <si>
    <t>DI 24</t>
  </si>
  <si>
    <t>DI 23</t>
  </si>
  <si>
    <t>DI 21</t>
  </si>
  <si>
    <t>DI 20</t>
  </si>
  <si>
    <t>DI 19</t>
  </si>
  <si>
    <t>DI 18</t>
  </si>
  <si>
    <t>DI 17</t>
  </si>
  <si>
    <t>DI 16</t>
  </si>
  <si>
    <t>DI 15</t>
  </si>
  <si>
    <t>DI 14</t>
  </si>
  <si>
    <t>DI 13</t>
  </si>
  <si>
    <t>DI 12</t>
  </si>
  <si>
    <t>DI 10a</t>
  </si>
  <si>
    <t>DI 10</t>
  </si>
  <si>
    <t>DI 9</t>
  </si>
  <si>
    <t>DI 8</t>
  </si>
  <si>
    <t>DI 5</t>
  </si>
  <si>
    <t>DI 4</t>
  </si>
  <si>
    <t>DI 3</t>
  </si>
  <si>
    <t>DI 2</t>
  </si>
  <si>
    <t>DI 1</t>
  </si>
  <si>
    <t>Security of entitlement supply, % received</t>
  </si>
  <si>
    <t>* The following are data items that have been defined by the IPTRID Secretariat in the publication</t>
  </si>
  <si>
    <t>*  "DI 12" refers to "Data Item No. 12" of the IPTRID Guidelines</t>
  </si>
  <si>
    <t>Number of persons fired in last 10 yrs for incompetence</t>
  </si>
  <si>
    <t>3 - Between 0 and 5% of deliveries are taken when not allowed or at flow rates greater than allowed.</t>
  </si>
  <si>
    <t>2 - Between 5 and 15% of deliveries are taken when not allowed or at flow rates greater than allowed.</t>
  </si>
  <si>
    <t>1 - Between 15 and 30% of deliveries are taken when not allowed or at flow rates greater than allowed.</t>
  </si>
  <si>
    <t>0 - Greater than 30% of deliveries are taken when not allowed or at flow rates greater than allowed.</t>
  </si>
  <si>
    <t>4 - No noticeable evidence of farmers or WUAs having unauthorized turnout locations.</t>
  </si>
  <si>
    <t>3 - Between 0 and 3% of deliveries are taken from unauthorized locations.</t>
  </si>
  <si>
    <t>2 - Between 3 and 6% of deliveries are taken from unauthorized locations.</t>
  </si>
  <si>
    <t>1 - Between 6 and 10% of deliveries are taken from unauthorized locations.</t>
  </si>
  <si>
    <t>0 - Greater than 10% of deliveries are taken from unauthorized locations.</t>
  </si>
  <si>
    <r>
      <t xml:space="preserve">Noticeable </t>
    </r>
    <r>
      <rPr>
        <b/>
        <u val="single"/>
        <sz val="9"/>
        <rFont val="Times New Roman"/>
        <family val="1"/>
      </rPr>
      <t>non</t>
    </r>
    <r>
      <rPr>
        <sz val="9"/>
        <rFont val="Times New Roman"/>
        <family val="1"/>
      </rPr>
      <t>-existence of unauthorized turnouts from canals (0-4).</t>
    </r>
  </si>
  <si>
    <t>"Order" Indicators - Evidence of orderly behavior throughout the canals that are operated by paid employees.</t>
  </si>
  <si>
    <t>Lack of vandalism of structures (0-4).</t>
  </si>
  <si>
    <t>4 - No noticeable evidence of vandalism of structures.</t>
  </si>
  <si>
    <t>3 - Between 0 and 3% of structures are vandalized.</t>
  </si>
  <si>
    <t>2 - Between 3 and 6% of structures are vandalized.</t>
  </si>
  <si>
    <t>Total Ground water pumped Inside the Command Area</t>
  </si>
  <si>
    <t>Total ground water pumped outside Command Area</t>
  </si>
  <si>
    <t>Typical total annual duration of canal system shutdown, days</t>
  </si>
  <si>
    <t>I-12A</t>
  </si>
  <si>
    <t>I-12B</t>
  </si>
  <si>
    <t>I-12C</t>
  </si>
  <si>
    <t>I-12D</t>
  </si>
  <si>
    <t>Regulating Reservoirs in the Main Canal</t>
  </si>
  <si>
    <t>Suitability of the number of location(s)</t>
  </si>
  <si>
    <t>Effectiveness of operation</t>
  </si>
  <si>
    <t>Suitability of the storage/buffer capacities</t>
  </si>
  <si>
    <t>Maintenance</t>
  </si>
  <si>
    <t>I-13</t>
  </si>
  <si>
    <t>I-13A</t>
  </si>
  <si>
    <t>I-13B</t>
  </si>
  <si>
    <t>I-13C</t>
  </si>
  <si>
    <t>I-13D</t>
  </si>
  <si>
    <t>I-11</t>
  </si>
  <si>
    <t>Communications for the Main Canal</t>
  </si>
  <si>
    <r>
      <t xml:space="preserve">Frequency of communications with the next </t>
    </r>
    <r>
      <rPr>
        <u val="single"/>
        <sz val="9"/>
        <rFont val="Times New Roman"/>
        <family val="1"/>
      </rPr>
      <t>higher</t>
    </r>
    <r>
      <rPr>
        <sz val="9"/>
        <rFont val="Times New Roman"/>
        <family val="1"/>
      </rPr>
      <t xml:space="preserve"> level? (hr)</t>
    </r>
  </si>
  <si>
    <t>Frequency of communications by operators or supervisors with their customers</t>
  </si>
  <si>
    <t>Frequency of visits by upper level supervisors to the field.</t>
  </si>
  <si>
    <t>Dependability of voice communications by phone or radio.</t>
  </si>
  <si>
    <r>
      <t xml:space="preserve">Existence and frequency of remote monitoring (either automatic or manual) at key </t>
    </r>
    <r>
      <rPr>
        <b/>
        <u val="single"/>
        <sz val="9"/>
        <rFont val="Times New Roman"/>
        <family val="1"/>
      </rPr>
      <t>spill</t>
    </r>
    <r>
      <rPr>
        <sz val="9"/>
        <rFont val="Times New Roman"/>
        <family val="1"/>
      </rPr>
      <t xml:space="preserve"> points, including the end of the canal</t>
    </r>
  </si>
  <si>
    <t>Availability of roads along the canal</t>
  </si>
  <si>
    <t>I-11A</t>
  </si>
  <si>
    <t>I-11B</t>
  </si>
  <si>
    <t>I-11C</t>
  </si>
  <si>
    <t>I-11D</t>
  </si>
  <si>
    <t>I-11E</t>
  </si>
  <si>
    <t>I-11F</t>
  </si>
  <si>
    <t>weight x value</t>
  </si>
  <si>
    <t>I-7E</t>
  </si>
  <si>
    <t>Value</t>
  </si>
  <si>
    <t>General Conditions for the Main Canal</t>
  </si>
  <si>
    <t>General level of maintenance of the canal floor and canal banks</t>
  </si>
  <si>
    <r>
      <t xml:space="preserve">Total </t>
    </r>
    <r>
      <rPr>
        <u val="single"/>
        <sz val="14"/>
        <rFont val="Arial"/>
        <family val="2"/>
      </rPr>
      <t>external</t>
    </r>
    <r>
      <rPr>
        <sz val="14"/>
        <rFont val="Arial"/>
        <family val="2"/>
      </rPr>
      <t xml:space="preserve"> </t>
    </r>
    <r>
      <rPr>
        <b/>
        <sz val="14"/>
        <rFont val="Arial"/>
        <family val="2"/>
      </rPr>
      <t>water</t>
    </r>
    <r>
      <rPr>
        <sz val="14"/>
        <rFont val="Arial"/>
        <family val="2"/>
      </rPr>
      <t xml:space="preserve"> supply for the project - including gross ppt. and </t>
    </r>
    <r>
      <rPr>
        <u val="single"/>
        <sz val="14"/>
        <rFont val="Arial"/>
        <family val="2"/>
      </rPr>
      <t>net</t>
    </r>
    <r>
      <rPr>
        <sz val="14"/>
        <rFont val="Arial"/>
        <family val="2"/>
      </rPr>
      <t xml:space="preserve"> aquifer withdrawl, but excluding internal recirculation</t>
    </r>
  </si>
  <si>
    <r>
      <t xml:space="preserve">Internal </t>
    </r>
    <r>
      <rPr>
        <u val="single"/>
        <sz val="14"/>
        <rFont val="Arial"/>
        <family val="2"/>
      </rPr>
      <t>surface</t>
    </r>
    <r>
      <rPr>
        <sz val="14"/>
        <rFont val="Arial"/>
        <family val="2"/>
      </rPr>
      <t xml:space="preserve"> water recirculation by farmer or project in command area</t>
    </r>
  </si>
  <si>
    <r>
      <t xml:space="preserve">Gross </t>
    </r>
    <r>
      <rPr>
        <u val="single"/>
        <sz val="14"/>
        <rFont val="Arial"/>
        <family val="2"/>
      </rPr>
      <t>groundwater</t>
    </r>
    <r>
      <rPr>
        <sz val="14"/>
        <rFont val="Arial"/>
        <family val="2"/>
      </rPr>
      <t xml:space="preserve"> pumped by farmers within command area</t>
    </r>
  </si>
  <si>
    <t>Groundwater pumped by Project Authorities and applied to the command area, minus net groundwater withdrawl (this is to avoid double counting.  Also, all of net is applied to this term, although some might be applied to farmers)</t>
  </si>
  <si>
    <t>Groundwater pumped by Project Authorities and applied to the command area</t>
  </si>
  <si>
    <t>Value used</t>
  </si>
  <si>
    <t>Est. CI</t>
  </si>
  <si>
    <t>Total irrigation water (internal plus external) - just for intermed. value</t>
  </si>
  <si>
    <t>Total annual volume of (ET - effective precipitation)  (MCM)</t>
  </si>
  <si>
    <t>Command area Irrigation Efficiency, %</t>
  </si>
  <si>
    <t>Command area - area with irrig. facilities</t>
  </si>
  <si>
    <t>Total groundwater pumped and dedicated to the command area</t>
  </si>
  <si>
    <r>
      <t>Actual</t>
    </r>
    <r>
      <rPr>
        <sz val="10"/>
        <rFont val="Arial"/>
        <family val="0"/>
      </rPr>
      <t xml:space="preserve"> Water Delivery Service by the Main Canals to the Second Level Canals</t>
    </r>
  </si>
  <si>
    <t>I-6</t>
  </si>
  <si>
    <t>I-6A</t>
  </si>
  <si>
    <t>I-6B</t>
  </si>
  <si>
    <t>I-6C</t>
  </si>
  <si>
    <t>I-6D</t>
  </si>
  <si>
    <t>Capacity "bottlenecks" in the Main Canal</t>
  </si>
  <si>
    <t>4 - No noticeable evidence of farmers or WUAs taking deliveries when not allowed, or at flow rates greater than allowed.</t>
  </si>
  <si>
    <t>4 - Arranged delivery, with frequency, rate and duration promised.  All can be varied upon request;  3 - Same as 4, but cannot vary the duration;   2 - 2 variables are fixed, but arranged schedule;  0 - Rotation</t>
  </si>
  <si>
    <t>4 - Water always arrives as promised, including the appropriate volume;  3 - A few days of delay occasionally occur, but water is still very reliable in rate and duration;  0 - More than a few days delay.</t>
  </si>
  <si>
    <t>I-32A</t>
  </si>
  <si>
    <t>I-32B</t>
  </si>
  <si>
    <t>I-32C</t>
  </si>
  <si>
    <t>I-33</t>
  </si>
  <si>
    <t>I-33A</t>
  </si>
  <si>
    <t>I-33B</t>
  </si>
  <si>
    <t>I-34</t>
  </si>
  <si>
    <t>Management</t>
  </si>
  <si>
    <t>Hardware</t>
  </si>
  <si>
    <t>4 - No changes in water ordering, staff training, or mobility;    3.5 - Improved training, only.  The basic procedures/conditions are just fine, they just are not being implemented to their full extent;  3.0 - Minor changes in water ordering, mobility, training, incentive programs;  2.0 - Major changes in 1 of the above;    1 - Major changes in 2 of the above;  0 - Need to completely revamp or convert almost everything.</t>
  </si>
  <si>
    <t xml:space="preserve">  Blue values indicate values that were transferred from elsewhere in the spreadsheet.</t>
  </si>
  <si>
    <t>Project Name =</t>
  </si>
  <si>
    <t xml:space="preserve">Water Year = </t>
  </si>
  <si>
    <t>Total Project area (command and non-command)</t>
  </si>
  <si>
    <t>Hectares; gross, including roads, all fields, water bodies</t>
  </si>
  <si>
    <t>Percent, %</t>
  </si>
  <si>
    <r>
      <t xml:space="preserve">Estimated surface </t>
    </r>
    <r>
      <rPr>
        <b/>
        <u val="single"/>
        <sz val="12"/>
        <rFont val="Times New Roman"/>
        <family val="1"/>
      </rPr>
      <t>losses</t>
    </r>
    <r>
      <rPr>
        <b/>
        <sz val="12"/>
        <rFont val="Times New Roman"/>
        <family val="1"/>
      </rPr>
      <t xml:space="preserve"> from paddy rice to drains</t>
    </r>
  </si>
  <si>
    <t>Percent (%) of irrigation water delivered to fields</t>
  </si>
  <si>
    <r>
      <t xml:space="preserve">Estimated field irrigation </t>
    </r>
    <r>
      <rPr>
        <b/>
        <u val="single"/>
        <sz val="12"/>
        <rFont val="Times New Roman"/>
        <family val="1"/>
      </rPr>
      <t>efficiency</t>
    </r>
    <r>
      <rPr>
        <b/>
        <sz val="12"/>
        <rFont val="Times New Roman"/>
        <family val="1"/>
      </rPr>
      <t xml:space="preserve"> for other crops</t>
    </r>
  </si>
  <si>
    <r>
      <t xml:space="preserve">Flow rate </t>
    </r>
    <r>
      <rPr>
        <b/>
        <u val="single"/>
        <sz val="12"/>
        <rFont val="New Century Schlbk"/>
        <family val="0"/>
      </rPr>
      <t>capacity</t>
    </r>
    <r>
      <rPr>
        <b/>
        <sz val="12"/>
        <rFont val="New Century Schlbk"/>
        <family val="0"/>
      </rPr>
      <t xml:space="preserve"> of main canal(s) at diversion point(s)</t>
    </r>
  </si>
  <si>
    <t>Cubic Meters per Second (CMS)</t>
  </si>
  <si>
    <t>Actual Peak flow rate into the main canal(s) at the diversion point(s)</t>
  </si>
  <si>
    <t>Average ECe of the Irrigation Water</t>
  </si>
  <si>
    <t>dS/m   (same as mmho/cm)</t>
  </si>
  <si>
    <t>The following table computes the monthly ET, mm, using the previous table Kc and ETo values</t>
  </si>
  <si>
    <t>Monthly ET of Each Crop and Area, mm</t>
  </si>
  <si>
    <t>Totals</t>
  </si>
  <si>
    <t>Irrigated Crops</t>
  </si>
  <si>
    <t>Table 1 - Field Coefficients and Crop Threshold Ece</t>
  </si>
  <si>
    <t>Table 2 - Monthly ETo, mm</t>
  </si>
  <si>
    <t>Table 3 - Surface Water Entering Command Area Boundaries</t>
  </si>
  <si>
    <t>Exchange rate -  $US/(local currency) :</t>
  </si>
  <si>
    <r>
      <t xml:space="preserve">0 - The delivery schedule is unknown by the downstream operators, </t>
    </r>
    <r>
      <rPr>
        <u val="single"/>
        <sz val="9"/>
        <rFont val="Times New Roman"/>
        <family val="1"/>
      </rPr>
      <t>or</t>
    </r>
    <r>
      <rPr>
        <sz val="9"/>
        <rFont val="Times New Roman"/>
        <family val="1"/>
      </rPr>
      <t xml:space="preserve"> changes are made less frequently than weekly.</t>
    </r>
  </si>
  <si>
    <t>2 - The flow changes arrive plus or minus 2 days, but are correct.  Perhaps 4 weeks of some shortage throughout the year.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</si>
</sst>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_);_(* \(#,##0\);_(* &quot;-&quot;??_);_(@_)"/>
    <numFmt numFmtId="174" formatCode="&quot;$&quot;#,##0"/>
    <numFmt numFmtId="175" formatCode="0.0%"/>
    <numFmt numFmtId="176" formatCode="0.000"/>
    <numFmt numFmtId="177" formatCode="0.0000E+00;\ĝ"/>
    <numFmt numFmtId="178" formatCode="0.0000E+00;\ঐ"/>
    <numFmt numFmtId="179" formatCode="0.00000E+00;\ঐ"/>
    <numFmt numFmtId="180" formatCode="0.000000E+00;\ঐ"/>
    <numFmt numFmtId="181" formatCode="0.0000"/>
    <numFmt numFmtId="182" formatCode="0.00000"/>
    <numFmt numFmtId="183" formatCode="0.000000"/>
    <numFmt numFmtId="184" formatCode="0.0000000"/>
    <numFmt numFmtId="185" formatCode="0.00000000"/>
    <numFmt numFmtId="186" formatCode="_(* #,##0.0_);_(* \(#,##0.0\);_(* &quot;-&quot;??_);_(@_)"/>
    <numFmt numFmtId="187" formatCode="0.0_);[Red]\(0.0\)"/>
    <numFmt numFmtId="188" formatCode="0_);[Red]\(0\)"/>
    <numFmt numFmtId="189" formatCode="#,##0.0_);[Red]\(#,##0.0\)"/>
    <numFmt numFmtId="190" formatCode="_(* #,##0.000_);_(* \(#,##0.000\);_(* &quot;-&quot;??_);_(@_)"/>
    <numFmt numFmtId="191" formatCode="mm/dd/yy"/>
    <numFmt numFmtId="192" formatCode="#,##0.0"/>
    <numFmt numFmtId="193" formatCode="#,##0.000"/>
    <numFmt numFmtId="194" formatCode="#,##0.0000"/>
    <numFmt numFmtId="195" formatCode="#,##0.00000"/>
    <numFmt numFmtId="196" formatCode="&quot;Yes&quot;;&quot;Yes&quot;;&quot;No&quot;"/>
    <numFmt numFmtId="197" formatCode="&quot;True&quot;;&quot;True&quot;;&quot;False&quot;"/>
    <numFmt numFmtId="198" formatCode="&quot;On&quot;;&quot;On&quot;;&quot;Off&quot;"/>
    <numFmt numFmtId="199" formatCode="#,##0.0_);\(#,##0.0\)"/>
    <numFmt numFmtId="200" formatCode="00000"/>
  </numFmts>
  <fonts count="125">
    <font>
      <sz val="10"/>
      <name val="Arial"/>
      <family val="0"/>
    </font>
    <font>
      <sz val="18"/>
      <name val="Times New Roman"/>
      <family val="1"/>
    </font>
    <font>
      <sz val="10"/>
      <name val="Times New Roman"/>
      <family val="1"/>
    </font>
    <font>
      <sz val="9"/>
      <name val="Times New Roman"/>
      <family val="1"/>
    </font>
    <font>
      <b/>
      <sz val="10"/>
      <name val="Times New Roman"/>
      <family val="1"/>
    </font>
    <font>
      <i/>
      <sz val="9"/>
      <name val="Times New Roman"/>
      <family val="1"/>
    </font>
    <font>
      <u val="single"/>
      <sz val="9"/>
      <name val="Times New Roman"/>
      <family val="1"/>
    </font>
    <font>
      <b/>
      <sz val="12"/>
      <name val="Times New Roman"/>
      <family val="1"/>
    </font>
    <font>
      <sz val="12"/>
      <name val="Times New Roman"/>
      <family val="1"/>
    </font>
    <font>
      <b/>
      <u val="single"/>
      <sz val="10"/>
      <name val="Times New Roman"/>
      <family val="1"/>
    </font>
    <font>
      <b/>
      <u val="single"/>
      <sz val="9"/>
      <name val="Times New Roman"/>
      <family val="1"/>
    </font>
    <font>
      <b/>
      <u val="single"/>
      <sz val="12"/>
      <name val="Times New Roman"/>
      <family val="1"/>
    </font>
    <font>
      <b/>
      <i/>
      <u val="single"/>
      <sz val="9"/>
      <name val="Times New Roman"/>
      <family val="1"/>
    </font>
    <font>
      <b/>
      <i/>
      <u val="single"/>
      <sz val="14"/>
      <name val="Times New Roman"/>
      <family val="1"/>
    </font>
    <font>
      <i/>
      <sz val="12"/>
      <name val="Times New Roman"/>
      <family val="1"/>
    </font>
    <font>
      <b/>
      <sz val="9"/>
      <name val="Times New Roman"/>
      <family val="1"/>
    </font>
    <font>
      <sz val="9"/>
      <color indexed="10"/>
      <name val="Times New Roman"/>
      <family val="1"/>
    </font>
    <font>
      <i/>
      <u val="single"/>
      <sz val="9"/>
      <name val="Times New Roman"/>
      <family val="1"/>
    </font>
    <font>
      <b/>
      <sz val="9"/>
      <color indexed="10"/>
      <name val="Times New Roman"/>
      <family val="1"/>
    </font>
    <font>
      <b/>
      <sz val="10"/>
      <name val="Arial"/>
      <family val="2"/>
    </font>
    <font>
      <b/>
      <u val="single"/>
      <sz val="10"/>
      <name val="Arial"/>
      <family val="2"/>
    </font>
    <font>
      <i/>
      <sz val="10"/>
      <name val="Arial"/>
      <family val="2"/>
    </font>
    <font>
      <b/>
      <sz val="12"/>
      <name val="Arial"/>
      <family val="2"/>
    </font>
    <font>
      <i/>
      <sz val="8"/>
      <name val="Arial"/>
      <family val="2"/>
    </font>
    <font>
      <sz val="8"/>
      <name val="Arial"/>
      <family val="2"/>
    </font>
    <font>
      <b/>
      <sz val="8"/>
      <name val="Arial"/>
      <family val="2"/>
    </font>
    <font>
      <b/>
      <i/>
      <sz val="9"/>
      <name val="Times New Roman"/>
      <family val="1"/>
    </font>
    <font>
      <b/>
      <sz val="12"/>
      <color indexed="10"/>
      <name val="Arial"/>
      <family val="2"/>
    </font>
    <font>
      <sz val="10"/>
      <color indexed="10"/>
      <name val="Arial"/>
      <family val="0"/>
    </font>
    <font>
      <b/>
      <sz val="10"/>
      <color indexed="10"/>
      <name val="Arial"/>
      <family val="2"/>
    </font>
    <font>
      <u val="single"/>
      <sz val="10"/>
      <name val="Arial"/>
      <family val="2"/>
    </font>
    <font>
      <sz val="10"/>
      <color indexed="12"/>
      <name val="Arial"/>
      <family val="2"/>
    </font>
    <font>
      <sz val="10"/>
      <color indexed="8"/>
      <name val="Arial"/>
      <family val="2"/>
    </font>
    <font>
      <i/>
      <sz val="10"/>
      <color indexed="8"/>
      <name val="Arial"/>
      <family val="2"/>
    </font>
    <font>
      <sz val="11"/>
      <name val="Times New Roman"/>
      <family val="1"/>
    </font>
    <font>
      <vertAlign val="superscript"/>
      <sz val="12"/>
      <name val="New Century Schlbk"/>
      <family val="0"/>
    </font>
    <font>
      <sz val="9"/>
      <name val="Arial"/>
      <family val="2"/>
    </font>
    <font>
      <b/>
      <sz val="20"/>
      <name val="New Century Schlbk"/>
      <family val="0"/>
    </font>
    <font>
      <sz val="12"/>
      <color indexed="12"/>
      <name val="New Century Schlbk"/>
      <family val="0"/>
    </font>
    <font>
      <sz val="12"/>
      <color indexed="56"/>
      <name val="New Century Schlbk"/>
      <family val="0"/>
    </font>
    <font>
      <sz val="12"/>
      <color indexed="10"/>
      <name val="New Century Schlbk"/>
      <family val="0"/>
    </font>
    <font>
      <b/>
      <sz val="12"/>
      <name val="New Century Schlbk"/>
      <family val="0"/>
    </font>
    <font>
      <b/>
      <sz val="16"/>
      <name val="Times New Roman"/>
      <family val="1"/>
    </font>
    <font>
      <u val="single"/>
      <sz val="12"/>
      <name val="Times New Roman"/>
      <family val="1"/>
    </font>
    <font>
      <b/>
      <u val="single"/>
      <sz val="12"/>
      <name val="New Century Schlbk"/>
      <family val="0"/>
    </font>
    <font>
      <b/>
      <i/>
      <sz val="16"/>
      <name val="New Century Schlbk"/>
      <family val="0"/>
    </font>
    <font>
      <sz val="12"/>
      <color indexed="48"/>
      <name val="New Century Schlbk"/>
      <family val="0"/>
    </font>
    <font>
      <b/>
      <u val="single"/>
      <sz val="22"/>
      <name val="Times New Roman"/>
      <family val="1"/>
    </font>
    <font>
      <b/>
      <u val="single"/>
      <sz val="16"/>
      <name val="New Century Schlbk"/>
      <family val="0"/>
    </font>
    <font>
      <b/>
      <sz val="18"/>
      <name val="New Century Schlbk"/>
      <family val="0"/>
    </font>
    <font>
      <sz val="12"/>
      <name val="Arial"/>
      <family val="2"/>
    </font>
    <font>
      <sz val="12"/>
      <color indexed="56"/>
      <name val="Arial"/>
      <family val="2"/>
    </font>
    <font>
      <sz val="12"/>
      <color indexed="10"/>
      <name val="Arial"/>
      <family val="2"/>
    </font>
    <font>
      <b/>
      <sz val="18"/>
      <name val="Times New Roman"/>
      <family val="1"/>
    </font>
    <font>
      <b/>
      <i/>
      <sz val="18"/>
      <name val="Times New Roman"/>
      <family val="1"/>
    </font>
    <font>
      <u val="single"/>
      <sz val="12"/>
      <color indexed="10"/>
      <name val="Arial"/>
      <family val="2"/>
    </font>
    <font>
      <sz val="12"/>
      <color indexed="56"/>
      <name val="Times New Roman"/>
      <family val="1"/>
    </font>
    <font>
      <b/>
      <u val="single"/>
      <sz val="18"/>
      <name val="Times New Roman"/>
      <family val="1"/>
    </font>
    <font>
      <b/>
      <i/>
      <sz val="14"/>
      <name val="Times New Roman"/>
      <family val="0"/>
    </font>
    <font>
      <b/>
      <i/>
      <u val="single"/>
      <sz val="20"/>
      <name val="Times New Roman"/>
      <family val="1"/>
    </font>
    <font>
      <sz val="12"/>
      <color indexed="10"/>
      <name val="Times New Roman"/>
      <family val="1"/>
    </font>
    <font>
      <u val="single"/>
      <sz val="12"/>
      <color indexed="56"/>
      <name val="New Century Schlbk"/>
      <family val="0"/>
    </font>
    <font>
      <u val="single"/>
      <sz val="12"/>
      <name val="New Century Schlbk"/>
      <family val="0"/>
    </font>
    <font>
      <b/>
      <u val="single"/>
      <sz val="18"/>
      <name val="New Century Schlbk"/>
      <family val="0"/>
    </font>
    <font>
      <u val="single"/>
      <sz val="12"/>
      <color indexed="10"/>
      <name val="New Century Schlbk"/>
      <family val="0"/>
    </font>
    <font>
      <b/>
      <sz val="18"/>
      <color indexed="8"/>
      <name val="Arial"/>
      <family val="2"/>
    </font>
    <font>
      <sz val="14"/>
      <name val="Arial"/>
      <family val="2"/>
    </font>
    <font>
      <sz val="14"/>
      <color indexed="10"/>
      <name val="Arial"/>
      <family val="2"/>
    </font>
    <font>
      <b/>
      <sz val="18"/>
      <name val="Arial"/>
      <family val="2"/>
    </font>
    <font>
      <sz val="10"/>
      <color indexed="56"/>
      <name val="Arial"/>
      <family val="2"/>
    </font>
    <font>
      <b/>
      <i/>
      <sz val="16"/>
      <name val="Times New Roman"/>
      <family val="1"/>
    </font>
    <font>
      <b/>
      <i/>
      <sz val="20"/>
      <name val="Times New Roman"/>
      <family val="1"/>
    </font>
    <font>
      <b/>
      <sz val="12"/>
      <color indexed="10"/>
      <name val="Times New Roman"/>
      <family val="1"/>
    </font>
    <font>
      <b/>
      <sz val="12"/>
      <color indexed="8"/>
      <name val="Times New Roman"/>
      <family val="1"/>
    </font>
    <font>
      <b/>
      <sz val="12"/>
      <color indexed="56"/>
      <name val="Arial"/>
      <family val="2"/>
    </font>
    <font>
      <sz val="12"/>
      <color indexed="8"/>
      <name val="Arial"/>
      <family val="2"/>
    </font>
    <font>
      <b/>
      <i/>
      <u val="single"/>
      <sz val="18"/>
      <name val="Times New Roman"/>
      <family val="1"/>
    </font>
    <font>
      <b/>
      <sz val="14"/>
      <name val="Arial"/>
      <family val="2"/>
    </font>
    <font>
      <b/>
      <sz val="14"/>
      <color indexed="10"/>
      <name val="Times New Roman"/>
      <family val="1"/>
    </font>
    <font>
      <sz val="12"/>
      <name val="Century Schoolbook"/>
      <family val="1"/>
    </font>
    <font>
      <b/>
      <sz val="12"/>
      <name val="Century Schoolbook"/>
      <family val="1"/>
    </font>
    <font>
      <sz val="12"/>
      <color indexed="48"/>
      <name val="Century Schoolbook"/>
      <family val="1"/>
    </font>
    <font>
      <u val="single"/>
      <sz val="12"/>
      <color indexed="10"/>
      <name val="Times New Roman"/>
      <family val="1"/>
    </font>
    <font>
      <sz val="12"/>
      <color indexed="14"/>
      <name val="Times New Roman"/>
      <family val="1"/>
    </font>
    <font>
      <b/>
      <i/>
      <sz val="12"/>
      <name val="New Century Schlbk"/>
      <family val="0"/>
    </font>
    <font>
      <b/>
      <i/>
      <u val="single"/>
      <sz val="12"/>
      <name val="New Century Schlbk"/>
      <family val="0"/>
    </font>
    <font>
      <b/>
      <i/>
      <sz val="12"/>
      <name val="Times New Roman"/>
      <family val="1"/>
    </font>
    <font>
      <sz val="12"/>
      <color indexed="8"/>
      <name val="New Century Schlbk"/>
      <family val="0"/>
    </font>
    <font>
      <b/>
      <sz val="12"/>
      <color indexed="12"/>
      <name val="New Century Schlbk"/>
      <family val="0"/>
    </font>
    <font>
      <b/>
      <sz val="12"/>
      <color indexed="12"/>
      <name val="Times New Roman"/>
      <family val="1"/>
    </font>
    <font>
      <b/>
      <sz val="12"/>
      <color indexed="48"/>
      <name val="Century Schoolbook"/>
      <family val="1"/>
    </font>
    <font>
      <b/>
      <sz val="12"/>
      <color indexed="12"/>
      <name val="Arial"/>
      <family val="2"/>
    </font>
    <font>
      <b/>
      <sz val="12"/>
      <color indexed="10"/>
      <name val="Century Schoolbook"/>
      <family val="1"/>
    </font>
    <font>
      <b/>
      <sz val="12"/>
      <color indexed="8"/>
      <name val="Century Schoolbook"/>
      <family val="1"/>
    </font>
    <font>
      <b/>
      <sz val="12"/>
      <color indexed="10"/>
      <name val="New Century Schlbk"/>
      <family val="0"/>
    </font>
    <font>
      <b/>
      <sz val="12"/>
      <color indexed="8"/>
      <name val="New Century Schlbk"/>
      <family val="0"/>
    </font>
    <font>
      <b/>
      <sz val="12"/>
      <color indexed="56"/>
      <name val="New Century Schlbk"/>
      <family val="0"/>
    </font>
    <font>
      <sz val="9"/>
      <color indexed="8"/>
      <name val="Times New Roman"/>
      <family val="1"/>
    </font>
    <font>
      <b/>
      <sz val="9"/>
      <color indexed="12"/>
      <name val="Times New Roman"/>
      <family val="1"/>
    </font>
    <font>
      <b/>
      <u val="single"/>
      <sz val="14"/>
      <name val="Arial"/>
      <family val="2"/>
    </font>
    <font>
      <u val="single"/>
      <sz val="14"/>
      <name val="Arial"/>
      <family val="2"/>
    </font>
    <font>
      <sz val="10"/>
      <color indexed="12"/>
      <name val="Times New Roman"/>
      <family val="1"/>
    </font>
    <font>
      <b/>
      <sz val="14"/>
      <name val="Times New Roman"/>
      <family val="1"/>
    </font>
    <font>
      <b/>
      <sz val="12"/>
      <color indexed="56"/>
      <name val="Times New Roman"/>
      <family val="1"/>
    </font>
    <font>
      <b/>
      <sz val="12"/>
      <color indexed="8"/>
      <name val="Arial"/>
      <family val="2"/>
    </font>
    <font>
      <b/>
      <sz val="14"/>
      <color indexed="56"/>
      <name val="New Century Schlbk"/>
      <family val="0"/>
    </font>
    <font>
      <b/>
      <u val="single"/>
      <sz val="12"/>
      <color indexed="12"/>
      <name val="Arial"/>
      <family val="2"/>
    </font>
    <font>
      <sz val="14"/>
      <name val="Times New Roman"/>
      <family val="0"/>
    </font>
    <font>
      <b/>
      <u val="single"/>
      <sz val="14"/>
      <name val="Times New Roman"/>
      <family val="1"/>
    </font>
    <font>
      <b/>
      <sz val="14"/>
      <color indexed="56"/>
      <name val="Times New Roman"/>
      <family val="1"/>
    </font>
    <font>
      <b/>
      <sz val="18"/>
      <color indexed="10"/>
      <name val="Times New Roman"/>
      <family val="1"/>
    </font>
    <font>
      <b/>
      <sz val="14"/>
      <color indexed="8"/>
      <name val="Times New Roman"/>
      <family val="1"/>
    </font>
    <font>
      <b/>
      <sz val="14"/>
      <color indexed="12"/>
      <name val="Times New Roman"/>
      <family val="1"/>
    </font>
    <font>
      <b/>
      <sz val="14"/>
      <color indexed="12"/>
      <name val="Arial"/>
      <family val="2"/>
    </font>
    <font>
      <b/>
      <sz val="14"/>
      <color indexed="10"/>
      <name val="Arial"/>
      <family val="2"/>
    </font>
    <font>
      <u val="single"/>
      <sz val="10"/>
      <color indexed="12"/>
      <name val="Arial"/>
      <family val="0"/>
    </font>
    <font>
      <u val="single"/>
      <sz val="10"/>
      <color indexed="36"/>
      <name val="Arial"/>
      <family val="0"/>
    </font>
    <font>
      <vertAlign val="superscript"/>
      <sz val="10"/>
      <name val="Arial"/>
      <family val="2"/>
    </font>
    <font>
      <sz val="14"/>
      <color indexed="10"/>
      <name val="Times New Roman"/>
      <family val="1"/>
    </font>
    <font>
      <sz val="14"/>
      <color indexed="8"/>
      <name val="Arial"/>
      <family val="2"/>
    </font>
    <font>
      <sz val="9"/>
      <color indexed="12"/>
      <name val="New Century Schlbk"/>
      <family val="0"/>
    </font>
    <font>
      <b/>
      <sz val="9"/>
      <color indexed="10"/>
      <name val="New Century Schlbk"/>
      <family val="0"/>
    </font>
    <font>
      <i/>
      <sz val="12"/>
      <name val="Arial"/>
      <family val="2"/>
    </font>
    <font>
      <b/>
      <i/>
      <sz val="10"/>
      <name val="Arial"/>
      <family val="2"/>
    </font>
    <font>
      <b/>
      <sz val="9"/>
      <color indexed="63"/>
      <name val="Times New Roman"/>
      <family val="1"/>
    </font>
  </fonts>
  <fills count="11">
    <fill>
      <patternFill/>
    </fill>
    <fill>
      <patternFill patternType="gray125"/>
    </fill>
    <fill>
      <patternFill patternType="lightGray"/>
    </fill>
    <fill>
      <patternFill patternType="solid">
        <fgColor indexed="22"/>
        <bgColor indexed="64"/>
      </patternFill>
    </fill>
    <fill>
      <patternFill patternType="lightGray">
        <bgColor indexed="22"/>
      </patternFill>
    </fill>
    <fill>
      <patternFill patternType="solid">
        <fgColor indexed="47"/>
        <bgColor indexed="64"/>
      </patternFill>
    </fill>
    <fill>
      <patternFill patternType="solid">
        <fgColor indexed="9"/>
        <bgColor indexed="64"/>
      </patternFill>
    </fill>
    <fill>
      <patternFill patternType="gray0625">
        <bgColor indexed="47"/>
      </patternFill>
    </fill>
    <fill>
      <patternFill patternType="solid">
        <fgColor indexed="55"/>
        <bgColor indexed="64"/>
      </patternFill>
    </fill>
    <fill>
      <patternFill patternType="gray0625"/>
    </fill>
    <fill>
      <patternFill patternType="solid">
        <fgColor indexed="12"/>
        <bgColor indexed="64"/>
      </patternFill>
    </fill>
  </fills>
  <borders count="77">
    <border>
      <left/>
      <right/>
      <top/>
      <bottom/>
      <diagonal/>
    </border>
    <border>
      <left style="hair"/>
      <right style="hair"/>
      <top style="hair"/>
      <bottom style="hair"/>
    </border>
    <border>
      <left style="hair"/>
      <right>
        <color indexed="63"/>
      </right>
      <top style="hair"/>
      <bottom style="hair"/>
    </border>
    <border>
      <left style="medium"/>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medium"/>
      <bottom style="medium"/>
    </border>
    <border>
      <left>
        <color indexed="63"/>
      </left>
      <right style="thin"/>
      <top style="hair"/>
      <bottom style="hair"/>
    </border>
    <border>
      <left style="hair"/>
      <right style="thin"/>
      <top style="hair"/>
      <bottom style="hair"/>
    </border>
    <border>
      <left>
        <color indexed="63"/>
      </left>
      <right>
        <color indexed="63"/>
      </right>
      <top>
        <color indexed="63"/>
      </top>
      <bottom style="thin"/>
    </border>
    <border>
      <left style="thick"/>
      <right style="thick"/>
      <top style="thick"/>
      <bottom style="thick"/>
    </border>
    <border>
      <left style="hair"/>
      <right style="medium"/>
      <top style="hair"/>
      <bottom style="hair"/>
    </border>
    <border>
      <left>
        <color indexed="63"/>
      </left>
      <right>
        <color indexed="63"/>
      </right>
      <top>
        <color indexed="63"/>
      </top>
      <bottom style="hair"/>
    </border>
    <border>
      <left style="hair"/>
      <right style="medium"/>
      <top>
        <color indexed="63"/>
      </top>
      <bottom style="hair"/>
    </border>
    <border>
      <left style="hair"/>
      <right style="hair"/>
      <top style="thick"/>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ck"/>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thin"/>
      <bottom style="thick"/>
    </border>
    <border>
      <left style="thin"/>
      <right style="medium"/>
      <top style="thick"/>
      <bottom>
        <color indexed="63"/>
      </bottom>
    </border>
    <border>
      <left>
        <color indexed="63"/>
      </left>
      <right style="thin"/>
      <top style="thin"/>
      <bottom>
        <color indexed="63"/>
      </bottom>
    </border>
    <border>
      <left>
        <color indexed="63"/>
      </left>
      <right style="thin"/>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style="thin"/>
      <top style="thin"/>
      <bottom style="medium"/>
    </border>
    <border>
      <left style="thin"/>
      <right style="medium"/>
      <top style="thin"/>
      <bottom style="medium"/>
    </border>
    <border>
      <left style="thin"/>
      <right style="thin"/>
      <top>
        <color indexed="63"/>
      </top>
      <bottom style="thin"/>
    </border>
    <border>
      <left style="hair"/>
      <right style="hair"/>
      <top>
        <color indexed="63"/>
      </top>
      <bottom style="medium"/>
    </border>
    <border>
      <left style="hair"/>
      <right>
        <color indexed="63"/>
      </right>
      <top style="hair"/>
      <bottom style="medium"/>
    </border>
    <border>
      <left style="hair"/>
      <right style="thin"/>
      <top>
        <color indexed="63"/>
      </top>
      <bottom style="hair"/>
    </border>
    <border>
      <left style="hair"/>
      <right>
        <color indexed="63"/>
      </right>
      <top>
        <color indexed="63"/>
      </top>
      <bottom style="hair"/>
    </border>
    <border>
      <left style="hair"/>
      <right style="hair"/>
      <top style="hair"/>
      <bottom style="medium"/>
    </border>
    <border>
      <left style="hair"/>
      <right style="hair"/>
      <top style="medium"/>
      <bottom style="medium"/>
    </border>
    <border>
      <left style="hair"/>
      <right>
        <color indexed="63"/>
      </right>
      <top style="medium"/>
      <bottom style="medium"/>
    </border>
    <border>
      <left style="hair"/>
      <right style="thin"/>
      <top style="hair"/>
      <bottom style="medium"/>
    </border>
    <border>
      <left>
        <color indexed="63"/>
      </left>
      <right>
        <color indexed="63"/>
      </right>
      <top style="hair"/>
      <bottom style="medium"/>
    </border>
    <border>
      <left style="hair"/>
      <right>
        <color indexed="63"/>
      </right>
      <top>
        <color indexed="63"/>
      </top>
      <bottom style="medium"/>
    </border>
    <border>
      <left style="medium"/>
      <right style="medium"/>
      <top style="medium"/>
      <bottom>
        <color indexed="63"/>
      </bottom>
    </border>
    <border>
      <left style="medium"/>
      <right style="medium"/>
      <top style="thin"/>
      <bottom style="thin"/>
    </border>
    <border>
      <left style="medium"/>
      <right>
        <color indexed="63"/>
      </right>
      <top style="thin"/>
      <bottom style="thin"/>
    </border>
    <border>
      <left style="medium"/>
      <right style="medium"/>
      <top>
        <color indexed="63"/>
      </top>
      <bottom>
        <color indexed="63"/>
      </bottom>
    </border>
    <border>
      <left style="thin"/>
      <right style="thin"/>
      <top style="thin"/>
      <bottom style="thick"/>
    </border>
    <border>
      <left style="thin"/>
      <right style="thin"/>
      <top style="thick"/>
      <bottom style="thin"/>
    </border>
    <border>
      <left style="thin"/>
      <right>
        <color indexed="63"/>
      </right>
      <top>
        <color indexed="63"/>
      </top>
      <bottom style="thin"/>
    </border>
    <border>
      <left style="thin"/>
      <right>
        <color indexed="63"/>
      </right>
      <top style="thin"/>
      <bottom style="thick"/>
    </border>
    <border>
      <left>
        <color indexed="63"/>
      </left>
      <right style="thin"/>
      <top>
        <color indexed="63"/>
      </top>
      <bottom style="medium"/>
    </border>
    <border>
      <left>
        <color indexed="63"/>
      </left>
      <right>
        <color indexed="63"/>
      </right>
      <top style="thin"/>
      <bottom style="medium"/>
    </border>
    <border>
      <left style="medium"/>
      <right>
        <color indexed="63"/>
      </right>
      <top>
        <color indexed="63"/>
      </top>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medium"/>
      <top>
        <color indexed="63"/>
      </top>
      <bottom>
        <color indexed="63"/>
      </bottom>
    </border>
    <border>
      <left style="thin"/>
      <right style="medium"/>
      <top>
        <color indexed="63"/>
      </top>
      <bottom style="medium"/>
    </border>
    <border>
      <left style="thin"/>
      <right style="thin"/>
      <top style="hair"/>
      <bottom style="hair"/>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9" fontId="0" fillId="0" borderId="0" applyFont="0" applyFill="0" applyBorder="0" applyAlignment="0" applyProtection="0"/>
  </cellStyleXfs>
  <cellXfs count="767">
    <xf numFmtId="0" fontId="0" fillId="0" borderId="0" xfId="0" applyAlignment="1">
      <alignment/>
    </xf>
    <xf numFmtId="0" fontId="1" fillId="0" borderId="0" xfId="0" applyFont="1" applyAlignment="1">
      <alignment horizontal="left"/>
    </xf>
    <xf numFmtId="0" fontId="2" fillId="0" borderId="1" xfId="0" applyFont="1" applyFill="1" applyBorder="1" applyAlignment="1">
      <alignment horizontal="left"/>
    </xf>
    <xf numFmtId="0" fontId="3" fillId="0" borderId="0" xfId="0" applyFont="1" applyFill="1" applyAlignment="1">
      <alignment wrapText="1"/>
    </xf>
    <xf numFmtId="0" fontId="3" fillId="0" borderId="0" xfId="0" applyFont="1" applyAlignment="1">
      <alignment horizontal="center"/>
    </xf>
    <xf numFmtId="0" fontId="3" fillId="0" borderId="0" xfId="0" applyFont="1" applyAlignment="1">
      <alignment/>
    </xf>
    <xf numFmtId="0" fontId="3" fillId="0" borderId="1" xfId="0" applyFont="1" applyFill="1" applyBorder="1" applyAlignment="1">
      <alignment wrapText="1"/>
    </xf>
    <xf numFmtId="0" fontId="3" fillId="0" borderId="1" xfId="0" applyFont="1" applyFill="1" applyBorder="1" applyAlignment="1">
      <alignment horizontal="left" wrapText="1"/>
    </xf>
    <xf numFmtId="0" fontId="1" fillId="0" borderId="0" xfId="0" applyFont="1" applyFill="1" applyAlignment="1">
      <alignment wrapText="1"/>
    </xf>
    <xf numFmtId="0" fontId="1" fillId="0" borderId="0" xfId="0" applyFont="1" applyAlignment="1">
      <alignment horizontal="center"/>
    </xf>
    <xf numFmtId="0" fontId="1" fillId="0" borderId="0" xfId="0" applyFont="1" applyAlignment="1">
      <alignment/>
    </xf>
    <xf numFmtId="0" fontId="7" fillId="0" borderId="0" xfId="0" applyFont="1" applyAlignment="1">
      <alignment horizontal="left"/>
    </xf>
    <xf numFmtId="0" fontId="8" fillId="0" borderId="0" xfId="0" applyFont="1" applyFill="1" applyAlignment="1">
      <alignment wrapText="1"/>
    </xf>
    <xf numFmtId="0" fontId="8" fillId="0" borderId="0" xfId="0" applyFont="1" applyAlignment="1">
      <alignment horizontal="center"/>
    </xf>
    <xf numFmtId="0" fontId="8" fillId="0" borderId="0" xfId="0" applyFont="1" applyAlignment="1">
      <alignment/>
    </xf>
    <xf numFmtId="0" fontId="4" fillId="0" borderId="1" xfId="0" applyFont="1" applyFill="1" applyBorder="1" applyAlignment="1">
      <alignment horizontal="left"/>
    </xf>
    <xf numFmtId="4" fontId="4" fillId="0" borderId="1" xfId="0" applyNumberFormat="1" applyFont="1" applyFill="1" applyBorder="1" applyAlignment="1">
      <alignment horizontal="left"/>
    </xf>
    <xf numFmtId="2" fontId="4" fillId="0" borderId="1" xfId="0" applyNumberFormat="1" applyFont="1" applyFill="1" applyBorder="1" applyAlignment="1">
      <alignment horizontal="left"/>
    </xf>
    <xf numFmtId="0" fontId="2" fillId="0" borderId="0" xfId="0" applyFont="1" applyFill="1" applyAlignment="1">
      <alignment horizontal="left"/>
    </xf>
    <xf numFmtId="0" fontId="3" fillId="0" borderId="2" xfId="0" applyFont="1" applyFill="1" applyBorder="1" applyAlignment="1">
      <alignment wrapText="1"/>
    </xf>
    <xf numFmtId="0" fontId="3" fillId="0" borderId="2" xfId="0" applyFont="1" applyFill="1" applyBorder="1" applyAlignment="1">
      <alignment horizontal="right" wrapText="1"/>
    </xf>
    <xf numFmtId="0" fontId="3" fillId="0" borderId="2" xfId="0" applyFont="1" applyFill="1" applyBorder="1" applyAlignment="1">
      <alignment horizontal="left" wrapText="1"/>
    </xf>
    <xf numFmtId="0" fontId="6" fillId="0" borderId="2" xfId="0" applyFont="1" applyFill="1" applyBorder="1" applyAlignment="1">
      <alignment horizontal="left" wrapText="1"/>
    </xf>
    <xf numFmtId="0" fontId="6" fillId="0" borderId="2" xfId="0" applyFont="1" applyFill="1" applyBorder="1" applyAlignment="1">
      <alignment wrapText="1"/>
    </xf>
    <xf numFmtId="0" fontId="12" fillId="0" borderId="2" xfId="0" applyFont="1" applyFill="1" applyBorder="1" applyAlignment="1">
      <alignment horizontal="left"/>
    </xf>
    <xf numFmtId="0" fontId="3" fillId="0" borderId="2" xfId="0" applyFont="1" applyFill="1" applyBorder="1" applyAlignment="1">
      <alignment horizontal="left" wrapText="1" indent="11"/>
    </xf>
    <xf numFmtId="0" fontId="5" fillId="0" borderId="2" xfId="0" applyFont="1" applyFill="1" applyBorder="1" applyAlignment="1">
      <alignment horizontal="right" wrapText="1"/>
    </xf>
    <xf numFmtId="0" fontId="3" fillId="0" borderId="3" xfId="0" applyFont="1" applyFill="1" applyBorder="1" applyAlignment="1">
      <alignment horizontal="center"/>
    </xf>
    <xf numFmtId="0" fontId="3" fillId="0" borderId="0" xfId="0" applyFont="1" applyAlignment="1">
      <alignment wrapText="1"/>
    </xf>
    <xf numFmtId="0" fontId="10" fillId="0" borderId="2" xfId="0" applyFont="1" applyFill="1" applyBorder="1" applyAlignment="1">
      <alignment horizontal="left" wrapText="1"/>
    </xf>
    <xf numFmtId="0" fontId="10" fillId="0" borderId="2" xfId="0" applyFont="1" applyFill="1" applyBorder="1" applyAlignment="1">
      <alignment wrapText="1"/>
    </xf>
    <xf numFmtId="0" fontId="6" fillId="0" borderId="2" xfId="0" applyFont="1" applyFill="1" applyBorder="1" applyAlignment="1">
      <alignment horizontal="left"/>
    </xf>
    <xf numFmtId="0" fontId="14" fillId="0" borderId="2" xfId="0" applyFont="1" applyFill="1" applyBorder="1" applyAlignment="1">
      <alignment horizontal="left" wrapText="1"/>
    </xf>
    <xf numFmtId="0" fontId="3" fillId="1" borderId="4" xfId="0" applyFont="1" applyFill="1" applyBorder="1" applyAlignment="1">
      <alignment horizontal="center"/>
    </xf>
    <xf numFmtId="0" fontId="3" fillId="1" borderId="5" xfId="0" applyFont="1" applyFill="1" applyBorder="1" applyAlignment="1">
      <alignment horizontal="center"/>
    </xf>
    <xf numFmtId="0" fontId="3" fillId="0" borderId="5" xfId="0" applyFont="1" applyBorder="1" applyAlignment="1">
      <alignment horizontal="center"/>
    </xf>
    <xf numFmtId="0" fontId="0" fillId="0" borderId="5" xfId="0" applyBorder="1" applyAlignment="1">
      <alignment/>
    </xf>
    <xf numFmtId="0" fontId="3" fillId="0" borderId="4" xfId="0" applyFont="1" applyBorder="1" applyAlignment="1">
      <alignment horizontal="center"/>
    </xf>
    <xf numFmtId="0" fontId="3" fillId="0" borderId="6" xfId="0" applyFont="1" applyBorder="1" applyAlignment="1">
      <alignment horizontal="center"/>
    </xf>
    <xf numFmtId="4" fontId="3" fillId="0" borderId="2" xfId="0" applyNumberFormat="1" applyFont="1" applyFill="1" applyBorder="1" applyAlignment="1">
      <alignment wrapText="1"/>
    </xf>
    <xf numFmtId="0" fontId="15" fillId="0" borderId="2" xfId="0" applyFont="1" applyFill="1" applyBorder="1" applyAlignment="1">
      <alignment horizontal="left" wrapText="1"/>
    </xf>
    <xf numFmtId="172" fontId="3" fillId="0" borderId="5" xfId="0" applyNumberFormat="1" applyFont="1" applyBorder="1" applyAlignment="1">
      <alignment horizontal="center"/>
    </xf>
    <xf numFmtId="3" fontId="3" fillId="0" borderId="5" xfId="0" applyNumberFormat="1" applyFont="1" applyBorder="1" applyAlignment="1">
      <alignment horizontal="center"/>
    </xf>
    <xf numFmtId="9" fontId="3" fillId="0" borderId="5" xfId="0" applyNumberFormat="1" applyFont="1" applyBorder="1" applyAlignment="1">
      <alignment horizontal="center"/>
    </xf>
    <xf numFmtId="1" fontId="3" fillId="0" borderId="5" xfId="15" applyNumberFormat="1" applyFont="1" applyFill="1" applyBorder="1" applyAlignment="1">
      <alignment horizontal="center"/>
    </xf>
    <xf numFmtId="0" fontId="3" fillId="0" borderId="5" xfId="0" applyFont="1" applyFill="1" applyBorder="1" applyAlignment="1">
      <alignment horizontal="center"/>
    </xf>
    <xf numFmtId="1" fontId="3" fillId="0" borderId="5" xfId="0" applyNumberFormat="1" applyFont="1" applyBorder="1" applyAlignment="1">
      <alignment horizontal="center"/>
    </xf>
    <xf numFmtId="0" fontId="3" fillId="1" borderId="7" xfId="0" applyFont="1" applyFill="1" applyBorder="1" applyAlignment="1">
      <alignment horizontal="center"/>
    </xf>
    <xf numFmtId="0" fontId="6" fillId="0" borderId="2" xfId="0" applyFont="1" applyFill="1" applyBorder="1" applyAlignment="1">
      <alignment horizontal="right" wrapText="1"/>
    </xf>
    <xf numFmtId="2" fontId="3" fillId="0" borderId="2"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2" xfId="0" applyFont="1" applyFill="1" applyBorder="1" applyAlignment="1">
      <alignment horizontal="left"/>
    </xf>
    <xf numFmtId="182" fontId="3" fillId="0" borderId="5" xfId="0" applyNumberFormat="1" applyFont="1" applyBorder="1" applyAlignment="1">
      <alignment horizontal="center"/>
    </xf>
    <xf numFmtId="0" fontId="3" fillId="1" borderId="5" xfId="0" applyFont="1" applyFill="1" applyBorder="1" applyAlignment="1">
      <alignment horizontal="center" wrapText="1"/>
    </xf>
    <xf numFmtId="2" fontId="3" fillId="0" borderId="5" xfId="0" applyNumberFormat="1" applyFont="1" applyBorder="1" applyAlignment="1">
      <alignment horizontal="center"/>
    </xf>
    <xf numFmtId="0" fontId="10" fillId="0" borderId="2" xfId="0" applyFont="1" applyFill="1" applyBorder="1" applyAlignment="1">
      <alignment horizontal="left"/>
    </xf>
    <xf numFmtId="0" fontId="3" fillId="0" borderId="8" xfId="0" applyFont="1" applyFill="1" applyBorder="1" applyAlignment="1">
      <alignment wrapText="1"/>
    </xf>
    <xf numFmtId="0" fontId="3" fillId="0" borderId="9" xfId="0" applyFont="1" applyFill="1" applyBorder="1" applyAlignment="1">
      <alignment wrapText="1"/>
    </xf>
    <xf numFmtId="0" fontId="3" fillId="0" borderId="9" xfId="0" applyFont="1" applyFill="1" applyBorder="1" applyAlignment="1">
      <alignment horizontal="left" wrapText="1"/>
    </xf>
    <xf numFmtId="0" fontId="5" fillId="0" borderId="2" xfId="0" applyFont="1" applyFill="1" applyBorder="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21" fillId="0" borderId="0" xfId="0" applyFont="1" applyAlignment="1">
      <alignment horizontal="center"/>
    </xf>
    <xf numFmtId="0" fontId="19" fillId="0" borderId="0" xfId="0" applyFont="1" applyAlignment="1">
      <alignment/>
    </xf>
    <xf numFmtId="0" fontId="3" fillId="0" borderId="0" xfId="0" applyFont="1" applyFill="1" applyBorder="1" applyAlignment="1">
      <alignment wrapText="1"/>
    </xf>
    <xf numFmtId="0" fontId="8" fillId="0" borderId="10" xfId="0" applyFont="1" applyBorder="1" applyAlignment="1">
      <alignment horizontal="center"/>
    </xf>
    <xf numFmtId="0" fontId="0" fillId="0" borderId="11" xfId="0" applyBorder="1" applyAlignment="1">
      <alignment horizontal="center" textRotation="90" wrapText="1"/>
    </xf>
    <xf numFmtId="0" fontId="0" fillId="0" borderId="11" xfId="0" applyBorder="1" applyAlignment="1">
      <alignment horizontal="center" wrapText="1"/>
    </xf>
    <xf numFmtId="0" fontId="23" fillId="0" borderId="11" xfId="0" applyFont="1" applyBorder="1" applyAlignment="1">
      <alignment horizontal="center" textRotation="90" wrapText="1"/>
    </xf>
    <xf numFmtId="0" fontId="0" fillId="0" borderId="12" xfId="0" applyBorder="1" applyAlignment="1">
      <alignment horizontal="center" wrapText="1"/>
    </xf>
    <xf numFmtId="0" fontId="0" fillId="0" borderId="12" xfId="0" applyFill="1" applyBorder="1" applyAlignment="1">
      <alignment horizontal="center" wrapText="1"/>
    </xf>
    <xf numFmtId="0" fontId="0" fillId="0" borderId="1" xfId="0" applyBorder="1" applyAlignment="1">
      <alignment horizontal="center" wrapText="1"/>
    </xf>
    <xf numFmtId="0" fontId="23" fillId="0" borderId="0" xfId="0" applyFont="1" applyAlignment="1">
      <alignment horizontal="center"/>
    </xf>
    <xf numFmtId="0" fontId="0" fillId="0" borderId="13" xfId="0" applyBorder="1" applyAlignment="1">
      <alignment horizontal="center"/>
    </xf>
    <xf numFmtId="0" fontId="2" fillId="0" borderId="1" xfId="0" applyFont="1" applyFill="1" applyBorder="1" applyAlignment="1">
      <alignment horizontal="center"/>
    </xf>
    <xf numFmtId="0" fontId="26" fillId="0" borderId="2" xfId="0" applyFont="1" applyFill="1" applyBorder="1" applyAlignment="1">
      <alignment wrapText="1"/>
    </xf>
    <xf numFmtId="0" fontId="3" fillId="1" borderId="2" xfId="0" applyFont="1" applyFill="1" applyBorder="1" applyAlignment="1">
      <alignment horizontal="right" wrapText="1"/>
    </xf>
    <xf numFmtId="0" fontId="0" fillId="0" borderId="5" xfId="0" applyBorder="1" applyAlignment="1">
      <alignment horizontal="center"/>
    </xf>
    <xf numFmtId="0" fontId="0" fillId="0" borderId="5" xfId="0" applyBorder="1" applyAlignment="1">
      <alignment horizontal="center" wrapText="1"/>
    </xf>
    <xf numFmtId="0" fontId="29" fillId="0" borderId="5" xfId="0" applyFont="1" applyFill="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22" fillId="0" borderId="15" xfId="0" applyFont="1" applyBorder="1" applyAlignment="1">
      <alignment horizontal="center" wrapText="1"/>
    </xf>
    <xf numFmtId="0" fontId="21" fillId="0" borderId="15" xfId="0" applyFont="1" applyBorder="1" applyAlignment="1">
      <alignment horizontal="center" wrapText="1"/>
    </xf>
    <xf numFmtId="0" fontId="24" fillId="0" borderId="15" xfId="0" applyFont="1" applyBorder="1" applyAlignment="1">
      <alignment horizontal="center" wrapText="1"/>
    </xf>
    <xf numFmtId="0" fontId="20" fillId="0" borderId="1" xfId="0" applyFont="1" applyBorder="1" applyAlignment="1">
      <alignment horizontal="center" wrapText="1"/>
    </xf>
    <xf numFmtId="0" fontId="0" fillId="0" borderId="1" xfId="0" applyFont="1" applyBorder="1" applyAlignment="1">
      <alignment horizontal="center" wrapText="1"/>
    </xf>
    <xf numFmtId="0" fontId="0" fillId="2" borderId="1" xfId="0" applyFill="1" applyBorder="1" applyAlignment="1">
      <alignment horizontal="center" wrapText="1"/>
    </xf>
    <xf numFmtId="0" fontId="3" fillId="2" borderId="1" xfId="0" applyFont="1" applyFill="1" applyBorder="1" applyAlignment="1">
      <alignment horizontal="left" wrapText="1"/>
    </xf>
    <xf numFmtId="0" fontId="21" fillId="2" borderId="1" xfId="0" applyFont="1" applyFill="1" applyBorder="1" applyAlignment="1">
      <alignment horizontal="center" wrapText="1"/>
    </xf>
    <xf numFmtId="0" fontId="22" fillId="0" borderId="1" xfId="0" applyFont="1" applyBorder="1" applyAlignment="1">
      <alignment horizontal="center" wrapText="1"/>
    </xf>
    <xf numFmtId="0" fontId="0" fillId="0" borderId="1" xfId="0" applyBorder="1" applyAlignment="1">
      <alignment wrapText="1"/>
    </xf>
    <xf numFmtId="0" fontId="0" fillId="0" borderId="1" xfId="0" applyBorder="1" applyAlignment="1">
      <alignment horizontal="center"/>
    </xf>
    <xf numFmtId="16" fontId="0" fillId="0" borderId="1" xfId="0" applyNumberFormat="1" applyBorder="1" applyAlignment="1">
      <alignment horizontal="center"/>
    </xf>
    <xf numFmtId="0" fontId="19" fillId="0" borderId="1" xfId="0" applyFont="1" applyBorder="1" applyAlignment="1">
      <alignment horizontal="center" wrapText="1"/>
    </xf>
    <xf numFmtId="0" fontId="0" fillId="0" borderId="1" xfId="0" applyBorder="1" applyAlignment="1">
      <alignment horizontal="right" wrapText="1"/>
    </xf>
    <xf numFmtId="0" fontId="29" fillId="0" borderId="5" xfId="0" applyFont="1" applyBorder="1" applyAlignment="1">
      <alignment horizontal="center" wrapText="1"/>
    </xf>
    <xf numFmtId="1" fontId="18" fillId="3" borderId="3" xfId="21" applyNumberFormat="1" applyFont="1" applyFill="1" applyBorder="1" applyAlignment="1">
      <alignment horizontal="center"/>
    </xf>
    <xf numFmtId="0" fontId="16" fillId="3" borderId="7" xfId="0" applyFont="1" applyFill="1" applyBorder="1" applyAlignment="1">
      <alignment horizontal="center"/>
    </xf>
    <xf numFmtId="0" fontId="16" fillId="3" borderId="5" xfId="0" applyFont="1" applyFill="1" applyBorder="1" applyAlignment="1">
      <alignment horizontal="center"/>
    </xf>
    <xf numFmtId="0" fontId="16" fillId="3" borderId="6" xfId="0" applyFont="1" applyFill="1" applyBorder="1" applyAlignment="1">
      <alignment horizontal="center"/>
    </xf>
    <xf numFmtId="172" fontId="16" fillId="3" borderId="5" xfId="0" applyNumberFormat="1" applyFont="1" applyFill="1" applyBorder="1" applyAlignment="1">
      <alignment horizontal="center"/>
    </xf>
    <xf numFmtId="0" fontId="18" fillId="3" borderId="5" xfId="0" applyFont="1" applyFill="1" applyBorder="1" applyAlignment="1">
      <alignment horizontal="center"/>
    </xf>
    <xf numFmtId="1" fontId="29" fillId="3" borderId="5" xfId="0" applyNumberFormat="1" applyFont="1" applyFill="1" applyBorder="1" applyAlignment="1">
      <alignment horizontal="center" wrapText="1"/>
    </xf>
    <xf numFmtId="0" fontId="21" fillId="4" borderId="1" xfId="0" applyFont="1" applyFill="1" applyBorder="1" applyAlignment="1">
      <alignment horizontal="center" wrapText="1"/>
    </xf>
    <xf numFmtId="172" fontId="27" fillId="3" borderId="1" xfId="0" applyNumberFormat="1" applyFont="1" applyFill="1" applyBorder="1" applyAlignment="1">
      <alignment horizontal="center" wrapText="1"/>
    </xf>
    <xf numFmtId="0" fontId="21" fillId="3" borderId="1" xfId="0" applyFont="1" applyFill="1" applyBorder="1" applyAlignment="1">
      <alignment horizontal="center" wrapText="1"/>
    </xf>
    <xf numFmtId="0" fontId="24" fillId="3" borderId="1" xfId="0" applyFont="1" applyFill="1" applyBorder="1" applyAlignment="1">
      <alignment horizontal="center" wrapText="1"/>
    </xf>
    <xf numFmtId="0" fontId="0" fillId="3" borderId="0" xfId="0" applyFill="1" applyAlignment="1">
      <alignment horizontal="center" wrapText="1"/>
    </xf>
    <xf numFmtId="0" fontId="0" fillId="3" borderId="13" xfId="0" applyFill="1" applyBorder="1" applyAlignment="1">
      <alignment horizontal="center" wrapText="1"/>
    </xf>
    <xf numFmtId="0" fontId="24" fillId="4" borderId="1" xfId="0" applyFont="1" applyFill="1" applyBorder="1" applyAlignment="1">
      <alignment horizontal="center" wrapText="1"/>
    </xf>
    <xf numFmtId="0" fontId="0" fillId="3" borderId="0" xfId="0" applyFill="1" applyAlignment="1">
      <alignment horizontal="center"/>
    </xf>
    <xf numFmtId="0" fontId="10" fillId="0" borderId="16" xfId="0" applyFont="1" applyFill="1" applyBorder="1" applyAlignment="1">
      <alignment wrapText="1"/>
    </xf>
    <xf numFmtId="0" fontId="0" fillId="3" borderId="1" xfId="0" applyFill="1" applyBorder="1" applyAlignment="1">
      <alignment/>
    </xf>
    <xf numFmtId="0" fontId="21" fillId="3" borderId="1" xfId="0" applyFont="1" applyFill="1" applyBorder="1" applyAlignment="1">
      <alignment horizontal="center"/>
    </xf>
    <xf numFmtId="0" fontId="0" fillId="3" borderId="13" xfId="0" applyFill="1" applyBorder="1" applyAlignment="1">
      <alignment horizontal="center"/>
    </xf>
    <xf numFmtId="0" fontId="25" fillId="3" borderId="1" xfId="0" applyFont="1" applyFill="1" applyBorder="1" applyAlignment="1">
      <alignment horizontal="center" wrapText="1"/>
    </xf>
    <xf numFmtId="0" fontId="21" fillId="3" borderId="17" xfId="0" applyFont="1" applyFill="1" applyBorder="1" applyAlignment="1">
      <alignment horizontal="center"/>
    </xf>
    <xf numFmtId="0" fontId="24" fillId="3" borderId="0" xfId="0" applyFont="1" applyFill="1" applyAlignment="1">
      <alignment horizontal="center" wrapText="1"/>
    </xf>
    <xf numFmtId="0" fontId="24" fillId="3" borderId="13" xfId="0" applyFont="1" applyFill="1" applyBorder="1" applyAlignment="1">
      <alignment horizontal="center" wrapText="1"/>
    </xf>
    <xf numFmtId="0" fontId="24" fillId="3" borderId="18" xfId="0" applyFont="1" applyFill="1" applyBorder="1" applyAlignment="1">
      <alignment horizontal="center" wrapText="1"/>
    </xf>
    <xf numFmtId="0" fontId="0" fillId="3" borderId="18" xfId="0" applyFill="1" applyBorder="1" applyAlignment="1">
      <alignment horizontal="center"/>
    </xf>
    <xf numFmtId="0" fontId="22" fillId="3" borderId="18" xfId="0" applyFont="1" applyFill="1" applyBorder="1" applyAlignment="1">
      <alignment horizontal="center"/>
    </xf>
    <xf numFmtId="0" fontId="2" fillId="0" borderId="19" xfId="0" applyFont="1" applyFill="1" applyBorder="1" applyAlignment="1">
      <alignment horizontal="left"/>
    </xf>
    <xf numFmtId="0" fontId="2" fillId="0" borderId="20" xfId="0" applyFont="1" applyFill="1" applyBorder="1" applyAlignment="1">
      <alignment horizontal="left"/>
    </xf>
    <xf numFmtId="0" fontId="2" fillId="0" borderId="21" xfId="0" applyFont="1" applyFill="1" applyBorder="1" applyAlignment="1">
      <alignment horizontal="left"/>
    </xf>
    <xf numFmtId="0" fontId="3" fillId="0" borderId="16" xfId="0" applyFont="1" applyFill="1" applyBorder="1" applyAlignment="1">
      <alignment wrapText="1"/>
    </xf>
    <xf numFmtId="0" fontId="2" fillId="0" borderId="22" xfId="0" applyFont="1" applyFill="1" applyBorder="1" applyAlignment="1">
      <alignment horizontal="left"/>
    </xf>
    <xf numFmtId="0" fontId="4" fillId="0" borderId="20" xfId="0" applyFont="1" applyFill="1" applyBorder="1" applyAlignment="1">
      <alignment horizontal="left"/>
    </xf>
    <xf numFmtId="0" fontId="6" fillId="0" borderId="16" xfId="0" applyFont="1" applyFill="1" applyBorder="1" applyAlignment="1">
      <alignment horizontal="left" wrapText="1"/>
    </xf>
    <xf numFmtId="0" fontId="3" fillId="0" borderId="2" xfId="0" applyFont="1" applyFill="1" applyBorder="1" applyAlignment="1">
      <alignment horizontal="center" wrapText="1"/>
    </xf>
    <xf numFmtId="0" fontId="3" fillId="0" borderId="16" xfId="0" applyFont="1" applyFill="1" applyBorder="1" applyAlignment="1">
      <alignment horizontal="left" wrapText="1"/>
    </xf>
    <xf numFmtId="0" fontId="3" fillId="0" borderId="16" xfId="0" applyFont="1" applyFill="1" applyBorder="1" applyAlignment="1">
      <alignment horizontal="right" wrapText="1"/>
    </xf>
    <xf numFmtId="0" fontId="4" fillId="0" borderId="21" xfId="0" applyFont="1" applyFill="1" applyBorder="1" applyAlignment="1">
      <alignment horizontal="left"/>
    </xf>
    <xf numFmtId="0" fontId="4" fillId="0" borderId="22" xfId="0" applyFont="1" applyFill="1" applyBorder="1" applyAlignment="1">
      <alignment horizontal="left"/>
    </xf>
    <xf numFmtId="0" fontId="9" fillId="0" borderId="1" xfId="0" applyFont="1" applyFill="1" applyBorder="1" applyAlignment="1">
      <alignment horizontal="left"/>
    </xf>
    <xf numFmtId="0" fontId="2" fillId="0" borderId="18" xfId="0" applyFont="1" applyFill="1" applyBorder="1" applyAlignment="1">
      <alignment horizontal="left"/>
    </xf>
    <xf numFmtId="0" fontId="29" fillId="3" borderId="5" xfId="0" applyFont="1" applyFill="1" applyBorder="1" applyAlignment="1">
      <alignment horizontal="center"/>
    </xf>
    <xf numFmtId="0" fontId="3" fillId="0" borderId="8" xfId="0" applyFont="1" applyBorder="1" applyAlignment="1">
      <alignment horizontal="right"/>
    </xf>
    <xf numFmtId="0" fontId="3" fillId="0" borderId="8" xfId="0" applyFont="1" applyFill="1" applyBorder="1" applyAlignment="1">
      <alignment horizontal="right" wrapText="1"/>
    </xf>
    <xf numFmtId="0" fontId="4"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6" fillId="0" borderId="16" xfId="0" applyFont="1" applyFill="1" applyBorder="1" applyAlignment="1">
      <alignment wrapText="1"/>
    </xf>
    <xf numFmtId="3" fontId="18" fillId="3" borderId="5" xfId="0" applyNumberFormat="1" applyFont="1" applyFill="1" applyBorder="1" applyAlignment="1">
      <alignment horizontal="center"/>
    </xf>
    <xf numFmtId="0" fontId="2" fillId="0" borderId="25" xfId="0" applyFont="1" applyFill="1" applyBorder="1" applyAlignment="1">
      <alignment horizontal="left"/>
    </xf>
    <xf numFmtId="0" fontId="15" fillId="0" borderId="9" xfId="0" applyFont="1" applyFill="1" applyBorder="1" applyAlignment="1">
      <alignment wrapText="1"/>
    </xf>
    <xf numFmtId="0" fontId="2" fillId="0" borderId="20" xfId="0" applyFont="1" applyFill="1" applyBorder="1" applyAlignment="1">
      <alignment horizontal="left" wrapText="1"/>
    </xf>
    <xf numFmtId="0" fontId="0" fillId="0" borderId="18" xfId="0" applyBorder="1" applyAlignment="1">
      <alignment/>
    </xf>
    <xf numFmtId="0" fontId="3" fillId="0" borderId="0" xfId="0" applyFont="1" applyFill="1" applyBorder="1" applyAlignment="1">
      <alignment horizontal="left" wrapText="1"/>
    </xf>
    <xf numFmtId="0" fontId="20" fillId="0" borderId="0" xfId="0" applyFont="1" applyAlignment="1">
      <alignment/>
    </xf>
    <xf numFmtId="0" fontId="8" fillId="5" borderId="0" xfId="0" applyFont="1" applyFill="1" applyAlignment="1">
      <alignment/>
    </xf>
    <xf numFmtId="0" fontId="0" fillId="5" borderId="0" xfId="0" applyFill="1" applyAlignment="1">
      <alignment horizontal="center"/>
    </xf>
    <xf numFmtId="38" fontId="29" fillId="3" borderId="5" xfId="0" applyNumberFormat="1" applyFont="1" applyFill="1" applyBorder="1" applyAlignment="1">
      <alignment horizontal="center" wrapText="1"/>
    </xf>
    <xf numFmtId="0" fontId="20" fillId="0" borderId="0" xfId="0" applyFont="1" applyAlignment="1">
      <alignment horizontal="center" wrapText="1"/>
    </xf>
    <xf numFmtId="0" fontId="0" fillId="0" borderId="5" xfId="0" applyFont="1" applyBorder="1" applyAlignment="1">
      <alignment horizontal="left" wrapText="1"/>
    </xf>
    <xf numFmtId="0" fontId="36" fillId="0" borderId="5" xfId="0" applyFont="1" applyFill="1" applyBorder="1" applyAlignment="1">
      <alignment horizontal="left" wrapText="1"/>
    </xf>
    <xf numFmtId="1" fontId="29" fillId="3" borderId="5" xfId="0" applyNumberFormat="1" applyFont="1" applyFill="1" applyBorder="1" applyAlignment="1">
      <alignment horizontal="center"/>
    </xf>
    <xf numFmtId="38" fontId="29" fillId="3" borderId="5" xfId="0" applyNumberFormat="1" applyFont="1" applyFill="1" applyBorder="1" applyAlignment="1">
      <alignment horizontal="center"/>
    </xf>
    <xf numFmtId="0" fontId="19" fillId="0" borderId="1" xfId="0" applyFont="1" applyBorder="1" applyAlignment="1">
      <alignment horizontal="left"/>
    </xf>
    <xf numFmtId="0" fontId="0" fillId="0" borderId="1" xfId="0" applyBorder="1" applyAlignment="1">
      <alignment horizontal="left"/>
    </xf>
    <xf numFmtId="0" fontId="4" fillId="0" borderId="25" xfId="0" applyFont="1" applyFill="1" applyBorder="1" applyAlignment="1">
      <alignment horizontal="left"/>
    </xf>
    <xf numFmtId="0" fontId="37" fillId="5" borderId="0" xfId="0" applyFont="1" applyFill="1" applyAlignment="1">
      <alignment/>
    </xf>
    <xf numFmtId="0" fontId="0" fillId="5" borderId="0" xfId="0" applyFill="1" applyAlignment="1">
      <alignment/>
    </xf>
    <xf numFmtId="0" fontId="0" fillId="6" borderId="3" xfId="0" applyFill="1" applyBorder="1" applyAlignment="1">
      <alignment/>
    </xf>
    <xf numFmtId="0" fontId="38" fillId="5" borderId="0" xfId="0" applyFont="1" applyFill="1" applyAlignment="1">
      <alignment horizontal="center"/>
    </xf>
    <xf numFmtId="0" fontId="39" fillId="5" borderId="0" xfId="0" applyFont="1" applyFill="1" applyAlignment="1">
      <alignment horizontal="center"/>
    </xf>
    <xf numFmtId="0" fontId="0" fillId="5" borderId="3" xfId="0" applyFill="1" applyBorder="1" applyAlignment="1">
      <alignment/>
    </xf>
    <xf numFmtId="176" fontId="40" fillId="5" borderId="0" xfId="0" applyNumberFormat="1" applyFont="1" applyFill="1" applyAlignment="1">
      <alignment horizontal="center"/>
    </xf>
    <xf numFmtId="172" fontId="40" fillId="5" borderId="3" xfId="0" applyNumberFormat="1" applyFont="1" applyFill="1" applyBorder="1" applyAlignment="1">
      <alignment horizontal="center"/>
    </xf>
    <xf numFmtId="0" fontId="41" fillId="5" borderId="0" xfId="0" applyFont="1" applyFill="1" applyAlignment="1">
      <alignment/>
    </xf>
    <xf numFmtId="0" fontId="41" fillId="7" borderId="0" xfId="0" applyFont="1" applyFill="1" applyAlignment="1">
      <alignment/>
    </xf>
    <xf numFmtId="0" fontId="0" fillId="7" borderId="0" xfId="0" applyFill="1" applyAlignment="1">
      <alignment/>
    </xf>
    <xf numFmtId="0" fontId="42" fillId="5" borderId="0" xfId="0" applyFont="1" applyFill="1" applyAlignment="1">
      <alignment horizontal="right"/>
    </xf>
    <xf numFmtId="0" fontId="7" fillId="5" borderId="0" xfId="0" applyFont="1" applyFill="1" applyAlignment="1">
      <alignment horizontal="left"/>
    </xf>
    <xf numFmtId="0" fontId="7" fillId="5" borderId="0" xfId="0" applyFont="1" applyFill="1" applyAlignment="1">
      <alignment/>
    </xf>
    <xf numFmtId="0" fontId="8" fillId="5" borderId="0" xfId="0" applyFont="1" applyFill="1" applyBorder="1" applyAlignment="1">
      <alignment horizontal="center"/>
    </xf>
    <xf numFmtId="0" fontId="41" fillId="5" borderId="0" xfId="0" applyFont="1" applyFill="1" applyAlignment="1">
      <alignment horizontal="left" wrapText="1"/>
    </xf>
    <xf numFmtId="0" fontId="7" fillId="5" borderId="0" xfId="0" applyFont="1" applyFill="1" applyAlignment="1">
      <alignment wrapText="1"/>
    </xf>
    <xf numFmtId="0" fontId="8" fillId="5" borderId="0" xfId="0" applyFont="1" applyFill="1" applyBorder="1" applyAlignment="1">
      <alignment/>
    </xf>
    <xf numFmtId="0" fontId="45" fillId="5" borderId="0" xfId="0" applyFont="1" applyFill="1" applyAlignment="1">
      <alignment horizontal="center"/>
    </xf>
    <xf numFmtId="0" fontId="0" fillId="5" borderId="0" xfId="0" applyFill="1" applyAlignment="1">
      <alignment vertical="top" wrapText="1"/>
    </xf>
    <xf numFmtId="0" fontId="0" fillId="5" borderId="10" xfId="0" applyFill="1" applyBorder="1" applyAlignment="1">
      <alignment horizontal="center"/>
    </xf>
    <xf numFmtId="0" fontId="39" fillId="5" borderId="10" xfId="0" applyFont="1" applyFill="1" applyBorder="1" applyAlignment="1">
      <alignment horizontal="center"/>
    </xf>
    <xf numFmtId="0" fontId="0" fillId="5" borderId="5" xfId="0" applyFill="1" applyBorder="1" applyAlignment="1">
      <alignment/>
    </xf>
    <xf numFmtId="0" fontId="41" fillId="5" borderId="0" xfId="0" applyFont="1" applyFill="1" applyAlignment="1">
      <alignment horizontal="center"/>
    </xf>
    <xf numFmtId="0" fontId="46" fillId="5" borderId="0" xfId="0" applyFont="1" applyFill="1" applyAlignment="1">
      <alignment horizontal="center"/>
    </xf>
    <xf numFmtId="0" fontId="40" fillId="5" borderId="0" xfId="0" applyFont="1" applyFill="1" applyAlignment="1">
      <alignment horizontal="center"/>
    </xf>
    <xf numFmtId="0" fontId="40" fillId="5" borderId="5" xfId="0" applyFont="1" applyFill="1" applyBorder="1" applyAlignment="1">
      <alignment horizontal="center"/>
    </xf>
    <xf numFmtId="0" fontId="47" fillId="5" borderId="0" xfId="0" applyFont="1" applyFill="1" applyAlignment="1">
      <alignment/>
    </xf>
    <xf numFmtId="0" fontId="44" fillId="5" borderId="0" xfId="0" applyFont="1" applyFill="1" applyAlignment="1">
      <alignment/>
    </xf>
    <xf numFmtId="0" fontId="44" fillId="5" borderId="0" xfId="0" applyFont="1" applyFill="1" applyAlignment="1">
      <alignment horizontal="center"/>
    </xf>
    <xf numFmtId="0" fontId="41" fillId="5" borderId="5" xfId="0" applyFont="1" applyFill="1" applyBorder="1" applyAlignment="1">
      <alignment horizontal="center"/>
    </xf>
    <xf numFmtId="0" fontId="0" fillId="8" borderId="26" xfId="0" applyFill="1" applyBorder="1" applyAlignment="1">
      <alignment horizontal="center"/>
    </xf>
    <xf numFmtId="0" fontId="48" fillId="5" borderId="27" xfId="0" applyFont="1" applyFill="1" applyBorder="1" applyAlignment="1">
      <alignment horizontal="center"/>
    </xf>
    <xf numFmtId="2" fontId="0" fillId="8" borderId="28" xfId="0" applyNumberFormat="1" applyFill="1" applyBorder="1" applyAlignment="1">
      <alignment horizontal="center"/>
    </xf>
    <xf numFmtId="2" fontId="0" fillId="8" borderId="5" xfId="0" applyNumberFormat="1" applyFill="1" applyBorder="1" applyAlignment="1">
      <alignment horizontal="center"/>
    </xf>
    <xf numFmtId="0" fontId="46" fillId="5" borderId="10" xfId="0" applyFont="1" applyFill="1" applyBorder="1" applyAlignment="1">
      <alignment horizontal="center"/>
    </xf>
    <xf numFmtId="0" fontId="0" fillId="5" borderId="29" xfId="0" applyFill="1" applyBorder="1" applyAlignment="1">
      <alignment/>
    </xf>
    <xf numFmtId="0" fontId="0" fillId="5" borderId="29" xfId="0" applyFill="1" applyBorder="1" applyAlignment="1">
      <alignment horizontal="center"/>
    </xf>
    <xf numFmtId="0" fontId="40" fillId="5" borderId="29" xfId="0" applyFont="1" applyFill="1" applyBorder="1" applyAlignment="1">
      <alignment horizontal="center"/>
    </xf>
    <xf numFmtId="0" fontId="49" fillId="5" borderId="0" xfId="0" applyFont="1" applyFill="1" applyAlignment="1">
      <alignment/>
    </xf>
    <xf numFmtId="0" fontId="50" fillId="5" borderId="0" xfId="0" applyFont="1" applyFill="1" applyAlignment="1">
      <alignment horizontal="center"/>
    </xf>
    <xf numFmtId="0" fontId="51" fillId="5" borderId="0" xfId="0" applyFont="1" applyFill="1" applyAlignment="1">
      <alignment horizontal="center"/>
    </xf>
    <xf numFmtId="0" fontId="52" fillId="5" borderId="0" xfId="0" applyFont="1" applyFill="1" applyAlignment="1">
      <alignment horizontal="center"/>
    </xf>
    <xf numFmtId="0" fontId="53" fillId="5" borderId="0" xfId="0" applyFont="1" applyFill="1" applyAlignment="1">
      <alignment/>
    </xf>
    <xf numFmtId="0" fontId="54" fillId="5" borderId="0" xfId="0" applyFont="1" applyFill="1" applyAlignment="1">
      <alignment/>
    </xf>
    <xf numFmtId="0" fontId="55" fillId="5" borderId="0" xfId="0" applyFont="1" applyFill="1" applyAlignment="1">
      <alignment horizontal="center"/>
    </xf>
    <xf numFmtId="0" fontId="8" fillId="5" borderId="5" xfId="0" applyFont="1" applyFill="1" applyBorder="1" applyAlignment="1">
      <alignment/>
    </xf>
    <xf numFmtId="0" fontId="0" fillId="5" borderId="0" xfId="0" applyFont="1" applyFill="1" applyAlignment="1">
      <alignment/>
    </xf>
    <xf numFmtId="0" fontId="50" fillId="5" borderId="0" xfId="0" applyFont="1" applyFill="1" applyAlignment="1">
      <alignment horizontal="left"/>
    </xf>
    <xf numFmtId="0" fontId="52" fillId="5" borderId="5" xfId="0" applyFont="1" applyFill="1" applyBorder="1" applyAlignment="1">
      <alignment horizontal="center"/>
    </xf>
    <xf numFmtId="0" fontId="51" fillId="5" borderId="5" xfId="0" applyFont="1" applyFill="1" applyBorder="1" applyAlignment="1">
      <alignment horizontal="center"/>
    </xf>
    <xf numFmtId="188" fontId="8" fillId="5" borderId="0" xfId="15" applyNumberFormat="1" applyFont="1" applyFill="1" applyBorder="1" applyAlignment="1">
      <alignment horizontal="center"/>
    </xf>
    <xf numFmtId="188" fontId="8" fillId="5" borderId="0" xfId="0" applyNumberFormat="1" applyFont="1" applyFill="1" applyBorder="1" applyAlignment="1">
      <alignment horizontal="center"/>
    </xf>
    <xf numFmtId="169" fontId="8" fillId="5" borderId="0" xfId="16" applyFont="1" applyFill="1" applyBorder="1" applyAlignment="1">
      <alignment/>
    </xf>
    <xf numFmtId="0" fontId="58" fillId="5" borderId="0" xfId="0" applyFont="1" applyFill="1" applyAlignment="1">
      <alignment/>
    </xf>
    <xf numFmtId="0" fontId="59" fillId="5" borderId="0" xfId="0" applyFont="1" applyFill="1" applyAlignment="1">
      <alignment horizontal="centerContinuous" vertical="center"/>
    </xf>
    <xf numFmtId="0" fontId="8" fillId="5" borderId="0" xfId="0" applyFont="1" applyFill="1" applyAlignment="1">
      <alignment horizontal="centerContinuous" vertical="center"/>
    </xf>
    <xf numFmtId="0" fontId="8" fillId="5" borderId="0" xfId="0" applyFont="1" applyFill="1" applyAlignment="1">
      <alignment vertical="top" wrapText="1"/>
    </xf>
    <xf numFmtId="0" fontId="61" fillId="5" borderId="0" xfId="0" applyFont="1" applyFill="1" applyBorder="1" applyAlignment="1">
      <alignment horizontal="center"/>
    </xf>
    <xf numFmtId="0" fontId="61" fillId="5" borderId="0" xfId="0" applyFont="1" applyFill="1" applyAlignment="1">
      <alignment horizontal="center"/>
    </xf>
    <xf numFmtId="0" fontId="62" fillId="5" borderId="0" xfId="0" applyFont="1" applyFill="1" applyAlignment="1">
      <alignment horizontal="center"/>
    </xf>
    <xf numFmtId="172" fontId="40" fillId="5" borderId="0" xfId="0" applyNumberFormat="1" applyFont="1" applyFill="1" applyAlignment="1">
      <alignment horizontal="center"/>
    </xf>
    <xf numFmtId="187" fontId="7" fillId="6" borderId="5" xfId="15" applyNumberFormat="1" applyFont="1" applyFill="1" applyBorder="1" applyAlignment="1">
      <alignment horizontal="center"/>
    </xf>
    <xf numFmtId="187" fontId="7" fillId="6" borderId="5" xfId="0" applyNumberFormat="1" applyFont="1" applyFill="1" applyBorder="1" applyAlignment="1">
      <alignment horizontal="center"/>
    </xf>
    <xf numFmtId="172" fontId="7" fillId="6" borderId="5" xfId="0" applyNumberFormat="1" applyFont="1" applyFill="1" applyBorder="1" applyAlignment="1">
      <alignment horizontal="center"/>
    </xf>
    <xf numFmtId="0" fontId="8" fillId="5" borderId="0" xfId="0" applyFont="1" applyFill="1" applyBorder="1" applyAlignment="1">
      <alignment wrapText="1"/>
    </xf>
    <xf numFmtId="187" fontId="60" fillId="5" borderId="0" xfId="15" applyNumberFormat="1" applyFont="1" applyFill="1" applyBorder="1" applyAlignment="1">
      <alignment horizontal="center"/>
    </xf>
    <xf numFmtId="0" fontId="63" fillId="5" borderId="0" xfId="0" applyFont="1" applyFill="1" applyAlignment="1">
      <alignment/>
    </xf>
    <xf numFmtId="38" fontId="50" fillId="5" borderId="0" xfId="0" applyNumberFormat="1" applyFont="1" applyFill="1" applyBorder="1" applyAlignment="1">
      <alignment horizontal="center"/>
    </xf>
    <xf numFmtId="0" fontId="41" fillId="5" borderId="10" xfId="0" applyFont="1" applyFill="1" applyBorder="1" applyAlignment="1">
      <alignment horizontal="center"/>
    </xf>
    <xf numFmtId="0" fontId="0" fillId="8" borderId="5" xfId="0" applyFill="1" applyBorder="1" applyAlignment="1">
      <alignment horizontal="center"/>
    </xf>
    <xf numFmtId="0" fontId="48" fillId="5" borderId="10" xfId="0" applyFont="1" applyFill="1" applyBorder="1" applyAlignment="1">
      <alignment horizontal="center"/>
    </xf>
    <xf numFmtId="3" fontId="0" fillId="8" borderId="5" xfId="0" applyNumberFormat="1" applyFill="1" applyBorder="1" applyAlignment="1">
      <alignment/>
    </xf>
    <xf numFmtId="3" fontId="0" fillId="5" borderId="0" xfId="0" applyNumberFormat="1" applyFill="1" applyBorder="1" applyAlignment="1">
      <alignment/>
    </xf>
    <xf numFmtId="0" fontId="64" fillId="5" borderId="0" xfId="0" applyFont="1" applyFill="1" applyAlignment="1">
      <alignment horizontal="center"/>
    </xf>
    <xf numFmtId="172" fontId="64" fillId="5" borderId="0" xfId="0" applyNumberFormat="1" applyFont="1" applyFill="1" applyAlignment="1">
      <alignment horizontal="center"/>
    </xf>
    <xf numFmtId="0" fontId="41" fillId="8" borderId="5" xfId="0" applyFont="1" applyFill="1" applyBorder="1" applyAlignment="1">
      <alignment horizontal="center"/>
    </xf>
    <xf numFmtId="0" fontId="32" fillId="5" borderId="0" xfId="0" applyFont="1" applyFill="1" applyAlignment="1">
      <alignment horizontal="center"/>
    </xf>
    <xf numFmtId="172" fontId="52" fillId="5" borderId="0" xfId="0" applyNumberFormat="1" applyFont="1" applyFill="1" applyAlignment="1">
      <alignment horizontal="center"/>
    </xf>
    <xf numFmtId="172" fontId="40" fillId="5" borderId="0" xfId="0" applyNumberFormat="1" applyFont="1" applyFill="1" applyBorder="1" applyAlignment="1">
      <alignment horizontal="center"/>
    </xf>
    <xf numFmtId="0" fontId="65" fillId="5" borderId="0" xfId="0" applyFont="1" applyFill="1" applyAlignment="1">
      <alignment/>
    </xf>
    <xf numFmtId="0" fontId="0" fillId="5" borderId="0" xfId="0" applyFont="1" applyFill="1" applyAlignment="1">
      <alignment horizontal="center"/>
    </xf>
    <xf numFmtId="0" fontId="62" fillId="5" borderId="0" xfId="0" applyFont="1" applyFill="1" applyAlignment="1">
      <alignment/>
    </xf>
    <xf numFmtId="0" fontId="0" fillId="5" borderId="0" xfId="0" applyFont="1" applyFill="1" applyAlignment="1">
      <alignment horizontal="center"/>
    </xf>
    <xf numFmtId="0" fontId="0" fillId="5" borderId="0" xfId="0" applyFont="1" applyFill="1" applyAlignment="1">
      <alignment/>
    </xf>
    <xf numFmtId="0" fontId="66" fillId="5" borderId="0" xfId="0" applyFont="1" applyFill="1" applyAlignment="1">
      <alignment horizontal="center"/>
    </xf>
    <xf numFmtId="0" fontId="66" fillId="5" borderId="0" xfId="0" applyFont="1" applyFill="1" applyAlignment="1">
      <alignment horizontal="right"/>
    </xf>
    <xf numFmtId="172" fontId="67" fillId="5" borderId="3" xfId="0" applyNumberFormat="1" applyFont="1" applyFill="1" applyBorder="1" applyAlignment="1">
      <alignment horizontal="center"/>
    </xf>
    <xf numFmtId="0" fontId="68" fillId="5" borderId="0" xfId="0" applyFont="1" applyFill="1" applyAlignment="1">
      <alignment/>
    </xf>
    <xf numFmtId="0" fontId="62" fillId="5" borderId="0" xfId="0" applyFont="1" applyFill="1" applyBorder="1" applyAlignment="1">
      <alignment horizontal="center"/>
    </xf>
    <xf numFmtId="0" fontId="69" fillId="5" borderId="0" xfId="0" applyFont="1" applyFill="1" applyAlignment="1">
      <alignment horizontal="center"/>
    </xf>
    <xf numFmtId="0" fontId="70" fillId="5" borderId="0" xfId="0" applyFont="1" applyFill="1" applyAlignment="1">
      <alignment/>
    </xf>
    <xf numFmtId="172" fontId="55" fillId="5" borderId="0" xfId="0" applyNumberFormat="1" applyFont="1" applyFill="1" applyAlignment="1">
      <alignment horizontal="center"/>
    </xf>
    <xf numFmtId="38" fontId="7" fillId="6" borderId="5" xfId="15" applyNumberFormat="1" applyFont="1" applyFill="1" applyBorder="1" applyAlignment="1">
      <alignment horizontal="center"/>
    </xf>
    <xf numFmtId="172" fontId="0" fillId="5" borderId="0" xfId="0" applyNumberFormat="1" applyFont="1" applyFill="1" applyAlignment="1">
      <alignment horizontal="center"/>
    </xf>
    <xf numFmtId="2" fontId="50" fillId="5" borderId="0" xfId="0" applyNumberFormat="1" applyFont="1" applyFill="1" applyAlignment="1">
      <alignment horizontal="left"/>
    </xf>
    <xf numFmtId="2" fontId="0" fillId="5" borderId="0" xfId="0" applyNumberFormat="1" applyFont="1" applyFill="1" applyAlignment="1">
      <alignment horizontal="center"/>
    </xf>
    <xf numFmtId="172" fontId="72" fillId="5" borderId="0" xfId="0" applyNumberFormat="1" applyFont="1" applyFill="1" applyBorder="1" applyAlignment="1">
      <alignment horizontal="center"/>
    </xf>
    <xf numFmtId="0" fontId="74" fillId="5" borderId="0" xfId="0" applyFont="1" applyFill="1" applyAlignment="1">
      <alignment horizontal="center"/>
    </xf>
    <xf numFmtId="2" fontId="52" fillId="5" borderId="0" xfId="0" applyNumberFormat="1" applyFont="1" applyFill="1" applyAlignment="1">
      <alignment horizontal="center"/>
    </xf>
    <xf numFmtId="0" fontId="69" fillId="5" borderId="0" xfId="0" applyFont="1" applyFill="1" applyAlignment="1">
      <alignment/>
    </xf>
    <xf numFmtId="0" fontId="75" fillId="5" borderId="0" xfId="0" applyFont="1" applyFill="1" applyAlignment="1">
      <alignment/>
    </xf>
    <xf numFmtId="0" fontId="50" fillId="5" borderId="0" xfId="0" applyFont="1" applyFill="1" applyAlignment="1">
      <alignment horizontal="center"/>
    </xf>
    <xf numFmtId="0" fontId="19" fillId="5" borderId="0" xfId="0" applyFont="1" applyFill="1" applyAlignment="1">
      <alignment horizontal="center"/>
    </xf>
    <xf numFmtId="0" fontId="0" fillId="5" borderId="0" xfId="0" applyFont="1" applyFill="1" applyAlignment="1">
      <alignment/>
    </xf>
    <xf numFmtId="0" fontId="22" fillId="5" borderId="0" xfId="0" applyFont="1" applyFill="1" applyAlignment="1">
      <alignment horizontal="center"/>
    </xf>
    <xf numFmtId="0" fontId="57" fillId="5" borderId="0" xfId="0" applyFont="1" applyFill="1" applyAlignment="1">
      <alignment/>
    </xf>
    <xf numFmtId="0" fontId="76" fillId="5" borderId="0" xfId="0" applyFont="1" applyFill="1" applyAlignment="1">
      <alignment/>
    </xf>
    <xf numFmtId="0" fontId="51" fillId="5" borderId="0" xfId="0" applyFont="1" applyFill="1" applyAlignment="1">
      <alignment horizontal="center"/>
    </xf>
    <xf numFmtId="176" fontId="51" fillId="5" borderId="0" xfId="0" applyNumberFormat="1" applyFont="1" applyFill="1" applyAlignment="1">
      <alignment horizontal="center"/>
    </xf>
    <xf numFmtId="172" fontId="0" fillId="5" borderId="0" xfId="0" applyNumberFormat="1" applyFill="1" applyAlignment="1">
      <alignment horizontal="center"/>
    </xf>
    <xf numFmtId="2" fontId="0" fillId="5" borderId="0" xfId="0" applyNumberFormat="1" applyFill="1" applyAlignment="1">
      <alignment horizontal="center"/>
    </xf>
    <xf numFmtId="0" fontId="56" fillId="5" borderId="0" xfId="0" applyFont="1" applyFill="1" applyAlignment="1">
      <alignment horizontal="center"/>
    </xf>
    <xf numFmtId="0" fontId="8" fillId="5" borderId="30" xfId="0" applyFont="1" applyFill="1" applyBorder="1" applyAlignment="1">
      <alignment/>
    </xf>
    <xf numFmtId="2" fontId="60" fillId="5" borderId="5" xfId="0" applyNumberFormat="1" applyFont="1" applyFill="1" applyBorder="1" applyAlignment="1">
      <alignment horizontal="center"/>
    </xf>
    <xf numFmtId="0" fontId="0" fillId="5" borderId="0" xfId="0" applyFont="1" applyFill="1" applyAlignment="1">
      <alignment horizontal="right"/>
    </xf>
    <xf numFmtId="2" fontId="0" fillId="5" borderId="3" xfId="0" applyNumberFormat="1" applyFont="1" applyFill="1" applyBorder="1" applyAlignment="1">
      <alignment horizontal="center"/>
    </xf>
    <xf numFmtId="0" fontId="50" fillId="5" borderId="0" xfId="0" applyFont="1" applyFill="1" applyAlignment="1">
      <alignment horizontal="right"/>
    </xf>
    <xf numFmtId="0" fontId="77" fillId="5" borderId="0" xfId="0" applyFont="1" applyFill="1" applyAlignment="1">
      <alignment horizontal="center"/>
    </xf>
    <xf numFmtId="2" fontId="52" fillId="5" borderId="11" xfId="0" applyNumberFormat="1" applyFont="1" applyFill="1" applyBorder="1" applyAlignment="1">
      <alignment horizontal="center"/>
    </xf>
    <xf numFmtId="0" fontId="42" fillId="5" borderId="0" xfId="0" applyFont="1" applyFill="1" applyAlignment="1">
      <alignment/>
    </xf>
    <xf numFmtId="0" fontId="42" fillId="5" borderId="0" xfId="0" applyFont="1" applyFill="1" applyAlignment="1">
      <alignment horizontal="left"/>
    </xf>
    <xf numFmtId="0" fontId="56" fillId="5" borderId="0" xfId="0" applyFont="1" applyFill="1" applyAlignment="1">
      <alignment horizontal="center"/>
    </xf>
    <xf numFmtId="0" fontId="60" fillId="5" borderId="0" xfId="0" applyFont="1" applyFill="1" applyAlignment="1">
      <alignment horizontal="center"/>
    </xf>
    <xf numFmtId="0" fontId="63" fillId="5" borderId="0" xfId="0" applyFont="1" applyFill="1" applyAlignment="1">
      <alignment horizontal="left"/>
    </xf>
    <xf numFmtId="0" fontId="48" fillId="5" borderId="31" xfId="0" applyFont="1" applyFill="1" applyBorder="1" applyAlignment="1">
      <alignment horizontal="center"/>
    </xf>
    <xf numFmtId="0" fontId="39" fillId="5" borderId="5" xfId="0" applyFont="1" applyFill="1" applyBorder="1" applyAlignment="1">
      <alignment horizontal="center"/>
    </xf>
    <xf numFmtId="0" fontId="39" fillId="5" borderId="32" xfId="0" applyFont="1" applyFill="1" applyBorder="1" applyAlignment="1">
      <alignment horizontal="center"/>
    </xf>
    <xf numFmtId="0" fontId="41" fillId="5" borderId="33" xfId="0" applyFont="1" applyFill="1" applyBorder="1" applyAlignment="1">
      <alignment horizontal="center"/>
    </xf>
    <xf numFmtId="0" fontId="0" fillId="5" borderId="34" xfId="0" applyFont="1" applyFill="1" applyBorder="1" applyAlignment="1">
      <alignment horizontal="center"/>
    </xf>
    <xf numFmtId="0" fontId="80" fillId="5" borderId="3" xfId="0" applyFont="1" applyFill="1" applyBorder="1" applyAlignment="1">
      <alignment horizontal="center"/>
    </xf>
    <xf numFmtId="0" fontId="41" fillId="5" borderId="29" xfId="0" applyFont="1" applyFill="1" applyBorder="1" applyAlignment="1">
      <alignment horizontal="center"/>
    </xf>
    <xf numFmtId="0" fontId="80" fillId="5" borderId="35" xfId="0" applyFont="1" applyFill="1" applyBorder="1" applyAlignment="1">
      <alignment horizontal="center"/>
    </xf>
    <xf numFmtId="0" fontId="81" fillId="5" borderId="36" xfId="0" applyFont="1" applyFill="1" applyBorder="1" applyAlignment="1">
      <alignment horizontal="center"/>
    </xf>
    <xf numFmtId="0" fontId="81" fillId="5" borderId="0" xfId="0" applyFont="1" applyFill="1" applyBorder="1" applyAlignment="1">
      <alignment horizontal="center"/>
    </xf>
    <xf numFmtId="0" fontId="0" fillId="5" borderId="36" xfId="0" applyFont="1" applyFill="1" applyBorder="1" applyAlignment="1">
      <alignment/>
    </xf>
    <xf numFmtId="0" fontId="41" fillId="8" borderId="37" xfId="0" applyFont="1" applyFill="1" applyBorder="1" applyAlignment="1">
      <alignment horizontal="center"/>
    </xf>
    <xf numFmtId="0" fontId="81" fillId="5" borderId="30" xfId="0" applyFont="1" applyFill="1" applyBorder="1" applyAlignment="1">
      <alignment horizontal="center"/>
    </xf>
    <xf numFmtId="0" fontId="0" fillId="5" borderId="30" xfId="0" applyFont="1" applyFill="1" applyBorder="1" applyAlignment="1">
      <alignment/>
    </xf>
    <xf numFmtId="0" fontId="0" fillId="5" borderId="38" xfId="0" applyFill="1" applyBorder="1" applyAlignment="1">
      <alignment/>
    </xf>
    <xf numFmtId="0" fontId="82" fillId="5" borderId="0" xfId="0" applyFont="1" applyFill="1" applyAlignment="1">
      <alignment horizontal="center"/>
    </xf>
    <xf numFmtId="0" fontId="8" fillId="5" borderId="0" xfId="0" applyFont="1" applyFill="1" applyAlignment="1">
      <alignment horizontal="center"/>
    </xf>
    <xf numFmtId="0" fontId="79" fillId="5" borderId="29" xfId="0" applyFont="1" applyFill="1" applyBorder="1" applyAlignment="1">
      <alignment horizontal="center"/>
    </xf>
    <xf numFmtId="0" fontId="39" fillId="5" borderId="39" xfId="0" applyFont="1" applyFill="1" applyBorder="1" applyAlignment="1">
      <alignment horizontal="center"/>
    </xf>
    <xf numFmtId="2" fontId="83" fillId="5" borderId="0" xfId="0" applyNumberFormat="1" applyFont="1" applyFill="1" applyAlignment="1">
      <alignment/>
    </xf>
    <xf numFmtId="2" fontId="0" fillId="5" borderId="0" xfId="0" applyNumberFormat="1" applyFill="1" applyAlignment="1">
      <alignment/>
    </xf>
    <xf numFmtId="0" fontId="43" fillId="5" borderId="0" xfId="0" applyFont="1" applyFill="1" applyAlignment="1">
      <alignment/>
    </xf>
    <xf numFmtId="0" fontId="30" fillId="5" borderId="0" xfId="0" applyFont="1" applyFill="1" applyAlignment="1">
      <alignment horizontal="center"/>
    </xf>
    <xf numFmtId="0" fontId="39" fillId="5" borderId="40" xfId="0" applyFont="1" applyFill="1" applyBorder="1" applyAlignment="1">
      <alignment horizontal="center"/>
    </xf>
    <xf numFmtId="38" fontId="0" fillId="5" borderId="0" xfId="0" applyNumberFormat="1" applyFont="1" applyFill="1" applyAlignment="1">
      <alignment horizontal="center"/>
    </xf>
    <xf numFmtId="2" fontId="60" fillId="5" borderId="0" xfId="0" applyNumberFormat="1" applyFont="1" applyFill="1" applyAlignment="1">
      <alignment horizontal="center"/>
    </xf>
    <xf numFmtId="0" fontId="0" fillId="5" borderId="30" xfId="0" applyFill="1" applyBorder="1" applyAlignment="1">
      <alignment/>
    </xf>
    <xf numFmtId="0" fontId="0" fillId="5" borderId="0" xfId="0" applyFill="1" applyAlignment="1">
      <alignment horizontal="left"/>
    </xf>
    <xf numFmtId="0" fontId="84" fillId="5" borderId="0" xfId="0" applyFont="1" applyFill="1" applyAlignment="1">
      <alignment/>
    </xf>
    <xf numFmtId="0" fontId="41" fillId="5" borderId="30" xfId="0" applyFont="1" applyFill="1" applyBorder="1" applyAlignment="1">
      <alignment/>
    </xf>
    <xf numFmtId="0" fontId="0" fillId="5" borderId="0" xfId="0" applyFill="1" applyBorder="1" applyAlignment="1">
      <alignment horizontal="center"/>
    </xf>
    <xf numFmtId="0" fontId="86" fillId="5" borderId="0" xfId="0" applyFont="1" applyFill="1" applyAlignment="1">
      <alignment/>
    </xf>
    <xf numFmtId="0" fontId="0" fillId="0" borderId="1" xfId="0" applyBorder="1" applyAlignment="1">
      <alignment/>
    </xf>
    <xf numFmtId="0" fontId="0" fillId="1" borderId="0" xfId="0" applyFill="1" applyAlignment="1">
      <alignment/>
    </xf>
    <xf numFmtId="0" fontId="0" fillId="0" borderId="0" xfId="0" applyAlignment="1">
      <alignment horizontal="left"/>
    </xf>
    <xf numFmtId="0" fontId="0" fillId="1" borderId="0" xfId="0" applyFill="1" applyAlignment="1">
      <alignment horizontal="center"/>
    </xf>
    <xf numFmtId="0" fontId="39" fillId="0" borderId="0" xfId="0" applyFont="1" applyAlignment="1">
      <alignment horizontal="center"/>
    </xf>
    <xf numFmtId="0" fontId="39" fillId="1" borderId="0" xfId="0" applyFont="1" applyFill="1" applyAlignment="1">
      <alignment horizontal="center"/>
    </xf>
    <xf numFmtId="1" fontId="39" fillId="0" borderId="0" xfId="0" applyNumberFormat="1" applyFont="1" applyAlignment="1">
      <alignment horizontal="center"/>
    </xf>
    <xf numFmtId="2" fontId="39" fillId="0" borderId="0" xfId="0" applyNumberFormat="1" applyFont="1" applyAlignment="1">
      <alignment horizontal="center"/>
    </xf>
    <xf numFmtId="2" fontId="40" fillId="0" borderId="0" xfId="0" applyNumberFormat="1" applyFont="1" applyAlignment="1">
      <alignment horizontal="center"/>
    </xf>
    <xf numFmtId="172" fontId="40" fillId="0" borderId="0" xfId="0" applyNumberFormat="1" applyFont="1" applyAlignment="1">
      <alignment horizontal="center"/>
    </xf>
    <xf numFmtId="0" fontId="40" fillId="0" borderId="0" xfId="0" applyFont="1" applyAlignment="1">
      <alignment horizontal="center"/>
    </xf>
    <xf numFmtId="172" fontId="40" fillId="0" borderId="0" xfId="0" applyNumberFormat="1" applyFont="1" applyFill="1" applyAlignment="1">
      <alignment horizontal="center"/>
    </xf>
    <xf numFmtId="1" fontId="40" fillId="0" borderId="0" xfId="0" applyNumberFormat="1" applyFont="1" applyFill="1" applyAlignment="1">
      <alignment horizontal="center"/>
    </xf>
    <xf numFmtId="0" fontId="40" fillId="0" borderId="0" xfId="0" applyFont="1" applyFill="1" applyAlignment="1">
      <alignment horizontal="center"/>
    </xf>
    <xf numFmtId="0" fontId="39" fillId="0" borderId="0" xfId="0" applyFont="1" applyFill="1" applyAlignment="1">
      <alignment horizontal="center"/>
    </xf>
    <xf numFmtId="2" fontId="0" fillId="1" borderId="0" xfId="0" applyNumberFormat="1" applyFill="1" applyAlignment="1">
      <alignment horizontal="center"/>
    </xf>
    <xf numFmtId="2" fontId="40" fillId="0" borderId="0" xfId="0" applyNumberFormat="1" applyFont="1" applyFill="1" applyAlignment="1">
      <alignment horizontal="center"/>
    </xf>
    <xf numFmtId="2" fontId="39" fillId="0" borderId="0" xfId="0" applyNumberFormat="1" applyFont="1" applyFill="1" applyAlignment="1">
      <alignment horizontal="center"/>
    </xf>
    <xf numFmtId="0" fontId="0" fillId="1" borderId="0" xfId="0" applyFill="1" applyAlignment="1">
      <alignment wrapText="1"/>
    </xf>
    <xf numFmtId="0" fontId="0" fillId="1" borderId="0" xfId="0" applyFill="1" applyAlignment="1">
      <alignment horizontal="center" wrapText="1"/>
    </xf>
    <xf numFmtId="0" fontId="0" fillId="0" borderId="0" xfId="0" applyFont="1" applyAlignment="1">
      <alignment/>
    </xf>
    <xf numFmtId="0" fontId="88" fillId="5" borderId="1" xfId="0" applyFont="1" applyFill="1" applyBorder="1" applyAlignment="1">
      <alignment horizontal="center"/>
    </xf>
    <xf numFmtId="0" fontId="89" fillId="5" borderId="1" xfId="0" applyFont="1" applyFill="1" applyBorder="1" applyAlignment="1">
      <alignment horizontal="center"/>
    </xf>
    <xf numFmtId="38" fontId="88" fillId="5" borderId="1" xfId="15" applyNumberFormat="1" applyFont="1" applyFill="1" applyBorder="1" applyAlignment="1">
      <alignment horizontal="center"/>
    </xf>
    <xf numFmtId="1" fontId="88" fillId="5" borderId="1" xfId="0" applyNumberFormat="1" applyFont="1" applyFill="1" applyBorder="1" applyAlignment="1">
      <alignment horizontal="center"/>
    </xf>
    <xf numFmtId="0" fontId="90" fillId="5" borderId="41" xfId="0" applyFont="1" applyFill="1" applyBorder="1" applyAlignment="1">
      <alignment horizontal="center"/>
    </xf>
    <xf numFmtId="0" fontId="90" fillId="5" borderId="4" xfId="0" applyFont="1" applyFill="1" applyBorder="1" applyAlignment="1">
      <alignment horizontal="center"/>
    </xf>
    <xf numFmtId="0" fontId="91" fillId="5" borderId="42" xfId="0" applyFont="1" applyFill="1" applyBorder="1" applyAlignment="1">
      <alignment horizontal="center"/>
    </xf>
    <xf numFmtId="0" fontId="80" fillId="6" borderId="43" xfId="0" applyFont="1" applyFill="1" applyBorder="1" applyAlignment="1">
      <alignment horizontal="center"/>
    </xf>
    <xf numFmtId="0" fontId="80" fillId="6" borderId="5" xfId="0" applyFont="1" applyFill="1" applyBorder="1" applyAlignment="1">
      <alignment horizontal="center"/>
    </xf>
    <xf numFmtId="0" fontId="92" fillId="5" borderId="43" xfId="0" applyFont="1" applyFill="1" applyBorder="1" applyAlignment="1">
      <alignment horizontal="center"/>
    </xf>
    <xf numFmtId="0" fontId="92" fillId="5" borderId="5" xfId="0" applyFont="1" applyFill="1" applyBorder="1" applyAlignment="1">
      <alignment horizontal="center"/>
    </xf>
    <xf numFmtId="0" fontId="93" fillId="6" borderId="44" xfId="0" applyFont="1" applyFill="1" applyBorder="1" applyAlignment="1">
      <alignment horizontal="center"/>
    </xf>
    <xf numFmtId="0" fontId="93" fillId="6" borderId="6" xfId="0" applyFont="1" applyFill="1" applyBorder="1" applyAlignment="1">
      <alignment horizontal="center"/>
    </xf>
    <xf numFmtId="0" fontId="93" fillId="6" borderId="45" xfId="0" applyFont="1" applyFill="1" applyBorder="1" applyAlignment="1">
      <alignment horizontal="center"/>
    </xf>
    <xf numFmtId="0" fontId="93" fillId="6" borderId="40" xfId="0" applyFont="1" applyFill="1" applyBorder="1" applyAlignment="1">
      <alignment horizontal="center"/>
    </xf>
    <xf numFmtId="0" fontId="93" fillId="6" borderId="5" xfId="0" applyFont="1" applyFill="1" applyBorder="1" applyAlignment="1">
      <alignment horizontal="center"/>
    </xf>
    <xf numFmtId="0" fontId="93" fillId="6" borderId="27" xfId="0" applyFont="1" applyFill="1" applyBorder="1" applyAlignment="1">
      <alignment horizontal="center"/>
    </xf>
    <xf numFmtId="0" fontId="80" fillId="6" borderId="40" xfId="0" applyFont="1" applyFill="1" applyBorder="1" applyAlignment="1">
      <alignment horizontal="center"/>
    </xf>
    <xf numFmtId="0" fontId="80" fillId="6" borderId="27" xfId="0" applyFont="1" applyFill="1" applyBorder="1" applyAlignment="1">
      <alignment horizontal="center"/>
    </xf>
    <xf numFmtId="0" fontId="0" fillId="9" borderId="0" xfId="0" applyFill="1" applyBorder="1" applyAlignment="1">
      <alignment horizontal="center"/>
    </xf>
    <xf numFmtId="2" fontId="87" fillId="9" borderId="0" xfId="0" applyNumberFormat="1" applyFont="1" applyFill="1" applyBorder="1" applyAlignment="1">
      <alignment horizontal="center"/>
    </xf>
    <xf numFmtId="2" fontId="40" fillId="9" borderId="0" xfId="0" applyNumberFormat="1" applyFont="1" applyFill="1" applyBorder="1" applyAlignment="1">
      <alignment horizontal="center"/>
    </xf>
    <xf numFmtId="0" fontId="0" fillId="9" borderId="0" xfId="0" applyFill="1" applyAlignment="1">
      <alignment/>
    </xf>
    <xf numFmtId="37" fontId="29" fillId="3" borderId="5" xfId="15" applyNumberFormat="1" applyFont="1" applyFill="1" applyBorder="1" applyAlignment="1">
      <alignment horizontal="center" wrapText="1"/>
    </xf>
    <xf numFmtId="0" fontId="5" fillId="0" borderId="16" xfId="0" applyFont="1" applyFill="1" applyBorder="1" applyAlignment="1">
      <alignment horizontal="right" wrapText="1"/>
    </xf>
    <xf numFmtId="1" fontId="16" fillId="3" borderId="5" xfId="0" applyNumberFormat="1" applyFont="1" applyFill="1" applyBorder="1" applyAlignment="1">
      <alignment horizontal="center"/>
    </xf>
    <xf numFmtId="37" fontId="3" fillId="0" borderId="5" xfId="15" applyNumberFormat="1" applyFont="1" applyFill="1" applyBorder="1" applyAlignment="1">
      <alignment horizontal="center"/>
    </xf>
    <xf numFmtId="37" fontId="3" fillId="0" borderId="5" xfId="15" applyNumberFormat="1" applyFont="1" applyBorder="1" applyAlignment="1">
      <alignment horizontal="center"/>
    </xf>
    <xf numFmtId="0" fontId="5" fillId="0" borderId="1" xfId="0" applyFont="1" applyFill="1" applyBorder="1" applyAlignment="1">
      <alignment horizontal="left" wrapText="1"/>
    </xf>
    <xf numFmtId="0" fontId="18" fillId="3" borderId="7" xfId="0" applyFont="1" applyFill="1" applyBorder="1" applyAlignment="1">
      <alignment horizontal="center"/>
    </xf>
    <xf numFmtId="181" fontId="29" fillId="3" borderId="5" xfId="0" applyNumberFormat="1" applyFont="1" applyFill="1" applyBorder="1" applyAlignment="1">
      <alignment horizontal="center"/>
    </xf>
    <xf numFmtId="2" fontId="29" fillId="3" borderId="5" xfId="0" applyNumberFormat="1" applyFont="1" applyFill="1" applyBorder="1" applyAlignment="1">
      <alignment horizontal="center"/>
    </xf>
    <xf numFmtId="172" fontId="29" fillId="3" borderId="5" xfId="0" applyNumberFormat="1" applyFont="1" applyFill="1" applyBorder="1" applyAlignment="1">
      <alignment horizontal="center"/>
    </xf>
    <xf numFmtId="192" fontId="29" fillId="3" borderId="5" xfId="0" applyNumberFormat="1" applyFont="1" applyFill="1" applyBorder="1" applyAlignment="1">
      <alignment horizontal="center"/>
    </xf>
    <xf numFmtId="3" fontId="29" fillId="3" borderId="5" xfId="0" applyNumberFormat="1" applyFont="1" applyFill="1" applyBorder="1" applyAlignment="1">
      <alignment horizontal="center"/>
    </xf>
    <xf numFmtId="172" fontId="31" fillId="3" borderId="1" xfId="0" applyNumberFormat="1" applyFont="1" applyFill="1" applyBorder="1" applyAlignment="1">
      <alignment horizontal="center" wrapText="1"/>
    </xf>
    <xf numFmtId="2" fontId="0" fillId="0" borderId="0" xfId="0" applyNumberFormat="1" applyAlignment="1">
      <alignment/>
    </xf>
    <xf numFmtId="1" fontId="94" fillId="5" borderId="1" xfId="0" applyNumberFormat="1" applyFont="1" applyFill="1" applyBorder="1" applyAlignment="1">
      <alignment horizontal="center"/>
    </xf>
    <xf numFmtId="2" fontId="94" fillId="5" borderId="1" xfId="0" applyNumberFormat="1" applyFont="1" applyFill="1" applyBorder="1" applyAlignment="1">
      <alignment horizontal="center"/>
    </xf>
    <xf numFmtId="0" fontId="96" fillId="5" borderId="1" xfId="0" applyFont="1" applyFill="1" applyBorder="1" applyAlignment="1">
      <alignment horizontal="center"/>
    </xf>
    <xf numFmtId="172" fontId="94" fillId="5" borderId="1" xfId="0" applyNumberFormat="1" applyFont="1" applyFill="1" applyBorder="1" applyAlignment="1">
      <alignment horizontal="center"/>
    </xf>
    <xf numFmtId="1" fontId="94" fillId="5" borderId="1" xfId="0" applyNumberFormat="1" applyFont="1" applyFill="1" applyBorder="1" applyAlignment="1">
      <alignment horizontal="center" wrapText="1"/>
    </xf>
    <xf numFmtId="3" fontId="3" fillId="1" borderId="5" xfId="0" applyNumberFormat="1" applyFont="1" applyFill="1" applyBorder="1" applyAlignment="1">
      <alignment horizontal="center"/>
    </xf>
    <xf numFmtId="0" fontId="3" fillId="0" borderId="46" xfId="0" applyFont="1" applyBorder="1" applyAlignment="1">
      <alignment horizontal="center"/>
    </xf>
    <xf numFmtId="0" fontId="2" fillId="0" borderId="47" xfId="0" applyFont="1" applyFill="1" applyBorder="1" applyAlignment="1">
      <alignment horizontal="left"/>
    </xf>
    <xf numFmtId="0" fontId="3" fillId="0" borderId="48" xfId="0" applyFont="1" applyFill="1" applyBorder="1" applyAlignment="1">
      <alignment horizontal="left" wrapText="1" indent="11"/>
    </xf>
    <xf numFmtId="0" fontId="3" fillId="1" borderId="6" xfId="0" applyFont="1" applyFill="1" applyBorder="1" applyAlignment="1">
      <alignment horizontal="center"/>
    </xf>
    <xf numFmtId="0" fontId="2" fillId="0" borderId="0" xfId="0" applyFont="1" applyFill="1" applyBorder="1" applyAlignment="1">
      <alignment horizontal="left"/>
    </xf>
    <xf numFmtId="0" fontId="2" fillId="0" borderId="30" xfId="0" applyFont="1" applyFill="1" applyBorder="1" applyAlignment="1">
      <alignment horizontal="left"/>
    </xf>
    <xf numFmtId="0" fontId="2" fillId="0" borderId="24" xfId="0" applyFont="1" applyFill="1" applyBorder="1" applyAlignment="1">
      <alignment horizontal="left"/>
    </xf>
    <xf numFmtId="0" fontId="3" fillId="0" borderId="49" xfId="0" applyFont="1" applyFill="1" applyBorder="1" applyAlignment="1">
      <alignment wrapText="1"/>
    </xf>
    <xf numFmtId="172" fontId="16" fillId="3" borderId="46" xfId="0" applyNumberFormat="1" applyFont="1" applyFill="1" applyBorder="1" applyAlignment="1">
      <alignment horizontal="center"/>
    </xf>
    <xf numFmtId="3" fontId="3" fillId="0" borderId="5" xfId="0" applyNumberFormat="1" applyFont="1" applyFill="1" applyBorder="1" applyAlignment="1">
      <alignment horizontal="center"/>
    </xf>
    <xf numFmtId="0" fontId="5" fillId="0" borderId="8" xfId="0" applyFont="1" applyFill="1" applyBorder="1" applyAlignment="1">
      <alignment horizontal="right" wrapText="1"/>
    </xf>
    <xf numFmtId="0" fontId="97" fillId="0" borderId="5" xfId="0" applyFont="1" applyFill="1" applyBorder="1" applyAlignment="1">
      <alignment horizontal="center"/>
    </xf>
    <xf numFmtId="3" fontId="97" fillId="0" borderId="5" xfId="0" applyNumberFormat="1" applyFont="1" applyFill="1" applyBorder="1" applyAlignment="1">
      <alignment horizontal="center"/>
    </xf>
    <xf numFmtId="3" fontId="18" fillId="3" borderId="3" xfId="0" applyNumberFormat="1" applyFont="1" applyFill="1" applyBorder="1" applyAlignment="1">
      <alignment horizontal="center"/>
    </xf>
    <xf numFmtId="172" fontId="21" fillId="4" borderId="1" xfId="0" applyNumberFormat="1" applyFont="1" applyFill="1" applyBorder="1" applyAlignment="1">
      <alignment horizontal="center" wrapText="1"/>
    </xf>
    <xf numFmtId="172" fontId="28" fillId="3" borderId="1" xfId="0" applyNumberFormat="1" applyFont="1" applyFill="1" applyBorder="1" applyAlignment="1">
      <alignment horizontal="center" wrapText="1"/>
    </xf>
    <xf numFmtId="0" fontId="11" fillId="1" borderId="5" xfId="0" applyFont="1" applyFill="1" applyBorder="1" applyAlignment="1">
      <alignment horizontal="center"/>
    </xf>
    <xf numFmtId="0" fontId="3" fillId="0" borderId="13" xfId="0" applyFont="1" applyFill="1" applyBorder="1" applyAlignment="1">
      <alignment wrapText="1"/>
    </xf>
    <xf numFmtId="0" fontId="3" fillId="1" borderId="46" xfId="0" applyFont="1" applyFill="1" applyBorder="1" applyAlignment="1">
      <alignment horizontal="center"/>
    </xf>
    <xf numFmtId="0" fontId="4" fillId="0" borderId="47" xfId="0" applyFont="1" applyFill="1" applyBorder="1" applyAlignment="1">
      <alignment horizontal="left"/>
    </xf>
    <xf numFmtId="0" fontId="3" fillId="0" borderId="48" xfId="0" applyFont="1" applyFill="1" applyBorder="1" applyAlignment="1">
      <alignment horizontal="right" wrapText="1"/>
    </xf>
    <xf numFmtId="0" fontId="3" fillId="0" borderId="50" xfId="0" applyFont="1" applyFill="1" applyBorder="1" applyAlignment="1">
      <alignment wrapText="1"/>
    </xf>
    <xf numFmtId="1" fontId="3" fillId="0" borderId="46" xfId="0" applyNumberFormat="1" applyFont="1" applyBorder="1" applyAlignment="1">
      <alignment horizontal="center"/>
    </xf>
    <xf numFmtId="0" fontId="3" fillId="0" borderId="13" xfId="0" applyFont="1" applyFill="1" applyBorder="1" applyAlignment="1">
      <alignment horizontal="left" wrapText="1"/>
    </xf>
    <xf numFmtId="0" fontId="3" fillId="0" borderId="46" xfId="0" applyFont="1" applyFill="1" applyBorder="1" applyAlignment="1">
      <alignment horizontal="center"/>
    </xf>
    <xf numFmtId="0" fontId="4" fillId="0" borderId="51" xfId="0" applyFont="1" applyFill="1" applyBorder="1" applyAlignment="1">
      <alignment horizontal="left"/>
    </xf>
    <xf numFmtId="0" fontId="3" fillId="0" borderId="50" xfId="0" applyFont="1" applyFill="1" applyBorder="1" applyAlignment="1">
      <alignment horizontal="left" wrapText="1"/>
    </xf>
    <xf numFmtId="0" fontId="3" fillId="0" borderId="22" xfId="0" applyFont="1" applyFill="1" applyBorder="1" applyAlignment="1">
      <alignment horizontal="right" wrapText="1"/>
    </xf>
    <xf numFmtId="0" fontId="3" fillId="0" borderId="32" xfId="0" applyFont="1" applyBorder="1" applyAlignment="1">
      <alignment horizontal="center"/>
    </xf>
    <xf numFmtId="0" fontId="5" fillId="0" borderId="48" xfId="0" applyFont="1" applyFill="1" applyBorder="1" applyAlignment="1">
      <alignment horizontal="right" wrapText="1"/>
    </xf>
    <xf numFmtId="0" fontId="18" fillId="3" borderId="6" xfId="0" applyFont="1" applyFill="1" applyBorder="1" applyAlignment="1">
      <alignment horizontal="center"/>
    </xf>
    <xf numFmtId="174" fontId="4" fillId="0" borderId="52" xfId="0" applyNumberFormat="1" applyFont="1" applyFill="1" applyBorder="1" applyAlignment="1">
      <alignment horizontal="left"/>
    </xf>
    <xf numFmtId="174" fontId="3" fillId="0" borderId="53" xfId="0" applyNumberFormat="1" applyFont="1" applyFill="1" applyBorder="1" applyAlignment="1">
      <alignment horizontal="left" wrapText="1"/>
    </xf>
    <xf numFmtId="3" fontId="3" fillId="0" borderId="7" xfId="0" applyNumberFormat="1" applyFont="1" applyFill="1" applyBorder="1" applyAlignment="1">
      <alignment horizontal="center"/>
    </xf>
    <xf numFmtId="0" fontId="98" fillId="3" borderId="5" xfId="0" applyFont="1" applyFill="1" applyBorder="1" applyAlignment="1">
      <alignment horizontal="center"/>
    </xf>
    <xf numFmtId="0" fontId="2" fillId="0" borderId="51" xfId="0" applyFont="1" applyFill="1" applyBorder="1" applyAlignment="1">
      <alignment horizontal="left"/>
    </xf>
    <xf numFmtId="0" fontId="5" fillId="0" borderId="54" xfId="0" applyFont="1" applyFill="1" applyBorder="1" applyAlignment="1">
      <alignment horizontal="right" wrapText="1"/>
    </xf>
    <xf numFmtId="3" fontId="3" fillId="0" borderId="6" xfId="0" applyNumberFormat="1" applyFont="1" applyBorder="1" applyAlignment="1">
      <alignment horizontal="center"/>
    </xf>
    <xf numFmtId="3" fontId="18" fillId="3" borderId="6" xfId="0" applyNumberFormat="1" applyFont="1" applyFill="1" applyBorder="1" applyAlignment="1">
      <alignment horizontal="center"/>
    </xf>
    <xf numFmtId="1" fontId="3" fillId="0" borderId="5" xfId="15" applyNumberFormat="1" applyFont="1" applyBorder="1" applyAlignment="1">
      <alignment horizontal="center"/>
    </xf>
    <xf numFmtId="3" fontId="29" fillId="3" borderId="5" xfId="0" applyNumberFormat="1" applyFont="1" applyFill="1" applyBorder="1" applyAlignment="1">
      <alignment horizontal="center" wrapText="1"/>
    </xf>
    <xf numFmtId="195" fontId="29" fillId="3" borderId="5" xfId="0" applyNumberFormat="1" applyFont="1" applyFill="1" applyBorder="1" applyAlignment="1">
      <alignment horizontal="center"/>
    </xf>
    <xf numFmtId="0" fontId="2" fillId="0" borderId="25" xfId="0" applyFont="1" applyFill="1" applyBorder="1" applyAlignment="1">
      <alignment horizontal="left" wrapText="1"/>
    </xf>
    <xf numFmtId="0" fontId="3" fillId="0" borderId="46" xfId="0" applyFont="1" applyFill="1" applyBorder="1" applyAlignment="1">
      <alignment horizontal="center" wrapText="1"/>
    </xf>
    <xf numFmtId="0" fontId="3" fillId="0" borderId="2" xfId="0" applyFont="1" applyFill="1" applyBorder="1" applyAlignment="1">
      <alignment horizontal="left" vertical="top" wrapText="1"/>
    </xf>
    <xf numFmtId="0" fontId="3" fillId="0" borderId="5" xfId="0" applyFont="1" applyBorder="1" applyAlignment="1">
      <alignment horizontal="center" wrapText="1"/>
    </xf>
    <xf numFmtId="0" fontId="97" fillId="0" borderId="46" xfId="0" applyFont="1" applyBorder="1" applyAlignment="1">
      <alignment horizontal="center"/>
    </xf>
    <xf numFmtId="0" fontId="3" fillId="0" borderId="50" xfId="0" applyFont="1" applyFill="1" applyBorder="1" applyAlignment="1">
      <alignment horizontal="left" vertical="top" wrapText="1"/>
    </xf>
    <xf numFmtId="0" fontId="3" fillId="0" borderId="46" xfId="0" applyFont="1" applyBorder="1" applyAlignment="1">
      <alignment horizontal="center" wrapText="1"/>
    </xf>
    <xf numFmtId="2" fontId="94" fillId="5" borderId="1" xfId="0" applyNumberFormat="1" applyFont="1" applyFill="1" applyBorder="1" applyAlignment="1">
      <alignment horizontal="left"/>
    </xf>
    <xf numFmtId="0" fontId="22" fillId="5" borderId="1" xfId="0" applyFont="1" applyFill="1" applyBorder="1" applyAlignment="1">
      <alignment horizontal="center"/>
    </xf>
    <xf numFmtId="0" fontId="91" fillId="5" borderId="1" xfId="0" applyFont="1" applyFill="1" applyBorder="1" applyAlignment="1">
      <alignment horizontal="center"/>
    </xf>
    <xf numFmtId="0" fontId="66" fillId="0" borderId="1" xfId="0" applyFont="1" applyBorder="1" applyAlignment="1">
      <alignment horizontal="center" wrapText="1"/>
    </xf>
    <xf numFmtId="0" fontId="66" fillId="0" borderId="1" xfId="0" applyFont="1" applyBorder="1" applyAlignment="1">
      <alignment horizontal="center"/>
    </xf>
    <xf numFmtId="0" fontId="66" fillId="5" borderId="1" xfId="0" applyFont="1" applyFill="1" applyBorder="1" applyAlignment="1">
      <alignment horizontal="center"/>
    </xf>
    <xf numFmtId="2" fontId="77" fillId="5" borderId="1" xfId="0" applyNumberFormat="1" applyFont="1" applyFill="1" applyBorder="1" applyAlignment="1">
      <alignment horizontal="center"/>
    </xf>
    <xf numFmtId="0" fontId="99" fillId="0" borderId="1" xfId="0" applyFont="1" applyBorder="1" applyAlignment="1">
      <alignment/>
    </xf>
    <xf numFmtId="0" fontId="66" fillId="0" borderId="1" xfId="0" applyFont="1" applyFill="1" applyBorder="1" applyAlignment="1">
      <alignment horizontal="center"/>
    </xf>
    <xf numFmtId="0" fontId="66" fillId="0" borderId="17" xfId="0" applyFont="1" applyBorder="1" applyAlignment="1">
      <alignment horizontal="center"/>
    </xf>
    <xf numFmtId="0" fontId="19" fillId="5" borderId="0" xfId="0" applyFont="1" applyFill="1" applyAlignment="1">
      <alignment/>
    </xf>
    <xf numFmtId="0" fontId="5" fillId="0" borderId="55" xfId="0" applyFont="1" applyFill="1" applyBorder="1" applyAlignment="1">
      <alignment horizontal="right" wrapText="1"/>
    </xf>
    <xf numFmtId="0" fontId="4" fillId="0" borderId="56" xfId="0" applyFont="1" applyFill="1" applyBorder="1" applyAlignment="1">
      <alignment horizontal="left"/>
    </xf>
    <xf numFmtId="172" fontId="0" fillId="0" borderId="0" xfId="0" applyNumberFormat="1" applyAlignment="1">
      <alignment horizontal="center"/>
    </xf>
    <xf numFmtId="172" fontId="0" fillId="0" borderId="11" xfId="0" applyNumberFormat="1" applyBorder="1" applyAlignment="1">
      <alignment horizontal="center" textRotation="90" wrapText="1"/>
    </xf>
    <xf numFmtId="172" fontId="0" fillId="0" borderId="15" xfId="0" applyNumberFormat="1" applyBorder="1" applyAlignment="1">
      <alignment horizontal="center" wrapText="1"/>
    </xf>
    <xf numFmtId="172" fontId="31" fillId="3" borderId="1" xfId="0" applyNumberFormat="1" applyFont="1" applyFill="1" applyBorder="1" applyAlignment="1">
      <alignment horizontal="center" wrapText="1"/>
    </xf>
    <xf numFmtId="172" fontId="31" fillId="3" borderId="5" xfId="0" applyNumberFormat="1" applyFont="1" applyFill="1" applyBorder="1" applyAlignment="1">
      <alignment horizontal="center"/>
    </xf>
    <xf numFmtId="172" fontId="28" fillId="3" borderId="1" xfId="0" applyNumberFormat="1" applyFont="1" applyFill="1" applyBorder="1" applyAlignment="1">
      <alignment horizontal="center"/>
    </xf>
    <xf numFmtId="172" fontId="31" fillId="3" borderId="1" xfId="0" applyNumberFormat="1" applyFont="1" applyFill="1" applyBorder="1" applyAlignment="1">
      <alignment horizontal="center"/>
    </xf>
    <xf numFmtId="172" fontId="27" fillId="3" borderId="1" xfId="0" applyNumberFormat="1" applyFont="1" applyFill="1" applyBorder="1" applyAlignment="1">
      <alignment horizontal="center"/>
    </xf>
    <xf numFmtId="172" fontId="27" fillId="3" borderId="19" xfId="0" applyNumberFormat="1" applyFont="1" applyFill="1" applyBorder="1" applyAlignment="1">
      <alignment horizontal="center" wrapText="1"/>
    </xf>
    <xf numFmtId="172" fontId="27" fillId="3" borderId="0" xfId="0" applyNumberFormat="1" applyFont="1" applyFill="1" applyAlignment="1">
      <alignment horizontal="center" wrapText="1"/>
    </xf>
    <xf numFmtId="172" fontId="32" fillId="3" borderId="1" xfId="0" applyNumberFormat="1" applyFont="1" applyFill="1" applyBorder="1" applyAlignment="1">
      <alignment horizontal="center" wrapText="1"/>
    </xf>
    <xf numFmtId="172" fontId="33" fillId="4" borderId="1" xfId="0" applyNumberFormat="1" applyFont="1" applyFill="1" applyBorder="1" applyAlignment="1">
      <alignment horizontal="center" wrapText="1"/>
    </xf>
    <xf numFmtId="172" fontId="32" fillId="3" borderId="1" xfId="0" applyNumberFormat="1" applyFont="1" applyFill="1" applyBorder="1" applyAlignment="1">
      <alignment horizontal="center"/>
    </xf>
    <xf numFmtId="172" fontId="32" fillId="3" borderId="16" xfId="0" applyNumberFormat="1" applyFont="1" applyFill="1" applyBorder="1" applyAlignment="1">
      <alignment horizontal="center"/>
    </xf>
    <xf numFmtId="172" fontId="28" fillId="3" borderId="16" xfId="0" applyNumberFormat="1" applyFont="1" applyFill="1" applyBorder="1" applyAlignment="1">
      <alignment horizontal="center"/>
    </xf>
    <xf numFmtId="172" fontId="0" fillId="3" borderId="16" xfId="0" applyNumberFormat="1" applyFill="1" applyBorder="1" applyAlignment="1">
      <alignment horizontal="center"/>
    </xf>
    <xf numFmtId="0" fontId="10" fillId="0" borderId="50" xfId="0" applyFont="1" applyFill="1" applyBorder="1" applyAlignment="1">
      <alignment horizontal="left" wrapText="1"/>
    </xf>
    <xf numFmtId="0" fontId="3" fillId="0" borderId="50" xfId="0" applyFont="1" applyFill="1" applyBorder="1" applyAlignment="1">
      <alignment horizontal="left" wrapText="1" indent="11"/>
    </xf>
    <xf numFmtId="0" fontId="0" fillId="0" borderId="46" xfId="0" applyBorder="1" applyAlignment="1">
      <alignment horizontal="center"/>
    </xf>
    <xf numFmtId="0" fontId="2" fillId="0" borderId="56" xfId="0" applyFont="1" applyFill="1" applyBorder="1" applyAlignment="1">
      <alignment horizontal="left"/>
    </xf>
    <xf numFmtId="0" fontId="3" fillId="1" borderId="44" xfId="0" applyFont="1" applyFill="1" applyBorder="1" applyAlignment="1">
      <alignment horizontal="center"/>
    </xf>
    <xf numFmtId="0" fontId="22" fillId="5" borderId="0" xfId="0" applyFont="1" applyFill="1" applyAlignment="1">
      <alignment/>
    </xf>
    <xf numFmtId="0" fontId="7" fillId="5" borderId="0" xfId="0" applyFont="1" applyFill="1" applyAlignment="1">
      <alignment/>
    </xf>
    <xf numFmtId="0" fontId="3" fillId="0" borderId="22" xfId="0" applyFont="1" applyFill="1" applyBorder="1" applyAlignment="1">
      <alignment horizontal="left" wrapText="1" indent="11"/>
    </xf>
    <xf numFmtId="0" fontId="3" fillId="0" borderId="51" xfId="0" applyFont="1" applyFill="1" applyBorder="1" applyAlignment="1">
      <alignment horizontal="left"/>
    </xf>
    <xf numFmtId="0" fontId="5" fillId="0" borderId="50" xfId="0" applyFont="1" applyFill="1" applyBorder="1" applyAlignment="1">
      <alignment horizontal="left" wrapText="1"/>
    </xf>
    <xf numFmtId="0" fontId="18" fillId="3" borderId="46" xfId="0" applyFont="1" applyFill="1" applyBorder="1" applyAlignment="1">
      <alignment horizontal="center"/>
    </xf>
    <xf numFmtId="172" fontId="101" fillId="3" borderId="1" xfId="0" applyNumberFormat="1" applyFont="1" applyFill="1" applyBorder="1" applyAlignment="1">
      <alignment horizontal="center"/>
    </xf>
    <xf numFmtId="0" fontId="0" fillId="0" borderId="0" xfId="0" applyBorder="1" applyAlignment="1">
      <alignment/>
    </xf>
    <xf numFmtId="0" fontId="0" fillId="0" borderId="30" xfId="0" applyBorder="1" applyAlignment="1">
      <alignment/>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right" vertical="center" wrapText="1"/>
    </xf>
    <xf numFmtId="0" fontId="0" fillId="0" borderId="13" xfId="0" applyBorder="1" applyAlignment="1">
      <alignment horizontal="right" vertical="center" wrapText="1"/>
    </xf>
    <xf numFmtId="0" fontId="0" fillId="0" borderId="0" xfId="0" applyAlignment="1">
      <alignment horizontal="left" vertical="center" wrapText="1"/>
    </xf>
    <xf numFmtId="172" fontId="19" fillId="0" borderId="3" xfId="0" applyNumberFormat="1" applyFont="1" applyFill="1" applyBorder="1" applyAlignment="1">
      <alignment horizontal="center"/>
    </xf>
    <xf numFmtId="172" fontId="19" fillId="0" borderId="57" xfId="0" applyNumberFormat="1" applyFont="1" applyFill="1" applyBorder="1" applyAlignment="1">
      <alignment horizontal="center"/>
    </xf>
    <xf numFmtId="0" fontId="22" fillId="5" borderId="0" xfId="0" applyFont="1" applyFill="1" applyAlignment="1">
      <alignment/>
    </xf>
    <xf numFmtId="49" fontId="7" fillId="6" borderId="5" xfId="15" applyNumberFormat="1" applyFont="1" applyFill="1" applyBorder="1" applyAlignment="1">
      <alignment horizontal="center"/>
    </xf>
    <xf numFmtId="49" fontId="7" fillId="6" borderId="5" xfId="15" applyNumberFormat="1" applyFont="1" applyFill="1" applyBorder="1" applyAlignment="1">
      <alignment horizontal="center"/>
    </xf>
    <xf numFmtId="38" fontId="41" fillId="6" borderId="5" xfId="15" applyNumberFormat="1" applyFont="1" applyFill="1" applyBorder="1" applyAlignment="1">
      <alignment horizontal="center"/>
    </xf>
    <xf numFmtId="1" fontId="7" fillId="6" borderId="5" xfId="0" applyNumberFormat="1" applyFont="1" applyFill="1" applyBorder="1" applyAlignment="1">
      <alignment horizontal="center"/>
    </xf>
    <xf numFmtId="0" fontId="7" fillId="6" borderId="5" xfId="0" applyFont="1" applyFill="1" applyBorder="1" applyAlignment="1">
      <alignment horizontal="center"/>
    </xf>
    <xf numFmtId="0" fontId="7" fillId="5" borderId="0" xfId="0" applyFont="1" applyFill="1" applyBorder="1" applyAlignment="1">
      <alignment horizontal="center"/>
    </xf>
    <xf numFmtId="0" fontId="7" fillId="5" borderId="0" xfId="0" applyFont="1" applyFill="1" applyBorder="1" applyAlignment="1">
      <alignment/>
    </xf>
    <xf numFmtId="172" fontId="7" fillId="6" borderId="5" xfId="0" applyNumberFormat="1" applyFont="1" applyFill="1" applyBorder="1" applyAlignment="1">
      <alignment horizontal="center"/>
    </xf>
    <xf numFmtId="172" fontId="94" fillId="5" borderId="3" xfId="0" applyNumberFormat="1" applyFont="1" applyFill="1" applyBorder="1" applyAlignment="1">
      <alignment horizontal="center"/>
    </xf>
    <xf numFmtId="172" fontId="96" fillId="5" borderId="3" xfId="0" applyNumberFormat="1" applyFont="1" applyFill="1" applyBorder="1" applyAlignment="1">
      <alignment horizontal="center"/>
    </xf>
    <xf numFmtId="0" fontId="102" fillId="5" borderId="0" xfId="0" applyFont="1" applyFill="1" applyBorder="1" applyAlignment="1">
      <alignment/>
    </xf>
    <xf numFmtId="0" fontId="102" fillId="5" borderId="0" xfId="0" applyFont="1" applyFill="1" applyAlignment="1">
      <alignment/>
    </xf>
    <xf numFmtId="0" fontId="22" fillId="5" borderId="39" xfId="0" applyFont="1" applyFill="1" applyBorder="1" applyAlignment="1">
      <alignment horizontal="center"/>
    </xf>
    <xf numFmtId="0" fontId="22" fillId="5" borderId="27" xfId="0" applyFont="1" applyFill="1" applyBorder="1" applyAlignment="1">
      <alignment horizontal="center"/>
    </xf>
    <xf numFmtId="0" fontId="22" fillId="0" borderId="58" xfId="0" applyFont="1" applyBorder="1" applyAlignment="1">
      <alignment horizontal="center"/>
    </xf>
    <xf numFmtId="2" fontId="22" fillId="0" borderId="40" xfId="0" applyNumberFormat="1" applyFont="1" applyBorder="1" applyAlignment="1">
      <alignment horizontal="center"/>
    </xf>
    <xf numFmtId="2" fontId="22" fillId="0" borderId="5" xfId="0" applyNumberFormat="1" applyFont="1" applyBorder="1" applyAlignment="1">
      <alignment horizontal="center"/>
    </xf>
    <xf numFmtId="0" fontId="22" fillId="0" borderId="27" xfId="0" applyFont="1" applyBorder="1" applyAlignment="1">
      <alignment horizontal="center"/>
    </xf>
    <xf numFmtId="0" fontId="41" fillId="5" borderId="59" xfId="0" applyFont="1" applyFill="1" applyBorder="1" applyAlignment="1">
      <alignment horizontal="center"/>
    </xf>
    <xf numFmtId="0" fontId="41" fillId="5" borderId="58" xfId="0" applyFont="1" applyFill="1" applyBorder="1" applyAlignment="1">
      <alignment horizontal="center"/>
    </xf>
    <xf numFmtId="0" fontId="22" fillId="5" borderId="60" xfId="0" applyFont="1" applyFill="1" applyBorder="1" applyAlignment="1">
      <alignment horizontal="center"/>
    </xf>
    <xf numFmtId="0" fontId="22" fillId="5" borderId="0" xfId="0" applyFont="1" applyFill="1" applyAlignment="1">
      <alignment horizontal="right"/>
    </xf>
    <xf numFmtId="0" fontId="22" fillId="0" borderId="11" xfId="0" applyFont="1" applyFill="1" applyBorder="1" applyAlignment="1">
      <alignment horizontal="center"/>
    </xf>
    <xf numFmtId="0" fontId="22" fillId="0" borderId="40" xfId="0" applyFont="1" applyFill="1" applyBorder="1" applyAlignment="1">
      <alignment horizontal="center"/>
    </xf>
    <xf numFmtId="0" fontId="22" fillId="0" borderId="5" xfId="0" applyFont="1" applyFill="1" applyBorder="1" applyAlignment="1">
      <alignment horizontal="center"/>
    </xf>
    <xf numFmtId="0" fontId="7" fillId="5" borderId="5" xfId="0" applyFont="1" applyFill="1" applyBorder="1" applyAlignment="1">
      <alignment/>
    </xf>
    <xf numFmtId="187" fontId="103" fillId="5" borderId="5" xfId="15" applyNumberFormat="1" applyFont="1" applyFill="1" applyBorder="1" applyAlignment="1">
      <alignment horizontal="center"/>
    </xf>
    <xf numFmtId="0" fontId="103" fillId="5" borderId="5" xfId="0" applyFont="1" applyFill="1" applyBorder="1" applyAlignment="1">
      <alignment horizontal="center"/>
    </xf>
    <xf numFmtId="0" fontId="7" fillId="5" borderId="5" xfId="0" applyFont="1" applyFill="1" applyBorder="1" applyAlignment="1">
      <alignment horizontal="center"/>
    </xf>
    <xf numFmtId="188" fontId="7" fillId="6" borderId="5" xfId="15" applyNumberFormat="1" applyFont="1" applyFill="1" applyBorder="1" applyAlignment="1">
      <alignment horizontal="center"/>
    </xf>
    <xf numFmtId="0" fontId="7" fillId="6" borderId="5" xfId="0" applyFont="1" applyFill="1" applyBorder="1" applyAlignment="1">
      <alignment horizontal="center"/>
    </xf>
    <xf numFmtId="188" fontId="7" fillId="5" borderId="5" xfId="0" applyNumberFormat="1" applyFont="1" applyFill="1" applyBorder="1" applyAlignment="1">
      <alignment horizontal="center"/>
    </xf>
    <xf numFmtId="49" fontId="7" fillId="5" borderId="5" xfId="0" applyNumberFormat="1" applyFont="1" applyFill="1" applyBorder="1" applyAlignment="1">
      <alignment vertical="top" wrapText="1"/>
    </xf>
    <xf numFmtId="0" fontId="7" fillId="5" borderId="5" xfId="0" applyFont="1" applyFill="1" applyBorder="1" applyAlignment="1">
      <alignment vertical="top" wrapText="1"/>
    </xf>
    <xf numFmtId="0" fontId="7" fillId="5" borderId="5" xfId="0" applyFont="1" applyFill="1" applyBorder="1" applyAlignment="1">
      <alignment wrapText="1"/>
    </xf>
    <xf numFmtId="187" fontId="72" fillId="5" borderId="5" xfId="15" applyNumberFormat="1" applyFont="1" applyFill="1" applyBorder="1" applyAlignment="1">
      <alignment horizontal="center"/>
    </xf>
    <xf numFmtId="1" fontId="7" fillId="6" borderId="5" xfId="15" applyNumberFormat="1" applyFont="1" applyFill="1" applyBorder="1" applyAlignment="1">
      <alignment horizontal="center" vertical="top" wrapText="1"/>
    </xf>
    <xf numFmtId="1" fontId="7" fillId="6" borderId="5" xfId="0" applyNumberFormat="1" applyFont="1" applyFill="1" applyBorder="1" applyAlignment="1">
      <alignment horizontal="center" vertical="top" wrapText="1"/>
    </xf>
    <xf numFmtId="1" fontId="72" fillId="5" borderId="5" xfId="0" applyNumberFormat="1" applyFont="1" applyFill="1" applyBorder="1" applyAlignment="1">
      <alignment horizontal="center" vertical="top" wrapText="1"/>
    </xf>
    <xf numFmtId="1" fontId="72" fillId="5" borderId="5" xfId="15" applyNumberFormat="1" applyFont="1" applyFill="1" applyBorder="1" applyAlignment="1">
      <alignment horizontal="center"/>
    </xf>
    <xf numFmtId="0" fontId="7" fillId="6" borderId="27" xfId="0" applyFont="1" applyFill="1" applyBorder="1" applyAlignment="1">
      <alignment/>
    </xf>
    <xf numFmtId="0" fontId="7" fillId="6" borderId="26" xfId="0" applyFont="1" applyFill="1" applyBorder="1" applyAlignment="1">
      <alignment/>
    </xf>
    <xf numFmtId="0" fontId="7" fillId="6" borderId="40" xfId="0" applyFont="1" applyFill="1" applyBorder="1" applyAlignment="1">
      <alignment/>
    </xf>
    <xf numFmtId="0" fontId="7" fillId="5" borderId="0" xfId="0" applyFont="1" applyFill="1" applyAlignment="1">
      <alignment horizontal="centerContinuous" vertical="center"/>
    </xf>
    <xf numFmtId="0" fontId="73" fillId="5" borderId="5" xfId="0" applyFont="1" applyFill="1" applyBorder="1" applyAlignment="1">
      <alignment wrapText="1"/>
    </xf>
    <xf numFmtId="187" fontId="72" fillId="5" borderId="5" xfId="0" applyNumberFormat="1" applyFont="1" applyFill="1" applyBorder="1" applyAlignment="1">
      <alignment horizontal="center" wrapText="1"/>
    </xf>
    <xf numFmtId="0" fontId="19" fillId="5" borderId="0" xfId="0" applyFont="1" applyFill="1" applyAlignment="1">
      <alignment/>
    </xf>
    <xf numFmtId="0" fontId="7" fillId="5" borderId="0" xfId="0" applyFont="1" applyFill="1" applyAlignment="1">
      <alignment horizontal="right"/>
    </xf>
    <xf numFmtId="0" fontId="96" fillId="5" borderId="10" xfId="0" applyFont="1" applyFill="1" applyBorder="1" applyAlignment="1">
      <alignment horizontal="center"/>
    </xf>
    <xf numFmtId="0" fontId="96" fillId="5" borderId="0" xfId="0" applyFont="1" applyFill="1" applyAlignment="1">
      <alignment horizontal="center"/>
    </xf>
    <xf numFmtId="0" fontId="94" fillId="5" borderId="0" xfId="0" applyFont="1" applyFill="1" applyAlignment="1">
      <alignment horizontal="center"/>
    </xf>
    <xf numFmtId="172" fontId="94" fillId="5" borderId="0" xfId="0" applyNumberFormat="1" applyFont="1" applyFill="1" applyAlignment="1">
      <alignment horizontal="center"/>
    </xf>
    <xf numFmtId="0" fontId="19" fillId="0" borderId="0" xfId="0" applyFont="1" applyAlignment="1">
      <alignment/>
    </xf>
    <xf numFmtId="0" fontId="19" fillId="5" borderId="5" xfId="0" applyFont="1" applyFill="1" applyBorder="1" applyAlignment="1">
      <alignment horizontal="center"/>
    </xf>
    <xf numFmtId="38" fontId="94" fillId="5" borderId="5" xfId="15" applyNumberFormat="1" applyFont="1" applyFill="1" applyBorder="1" applyAlignment="1">
      <alignment horizontal="center"/>
    </xf>
    <xf numFmtId="38" fontId="94" fillId="5" borderId="0" xfId="15" applyNumberFormat="1" applyFont="1" applyFill="1" applyBorder="1" applyAlignment="1">
      <alignment horizontal="center"/>
    </xf>
    <xf numFmtId="0" fontId="19" fillId="8" borderId="5" xfId="0" applyFont="1" applyFill="1" applyBorder="1" applyAlignment="1">
      <alignment horizontal="center"/>
    </xf>
    <xf numFmtId="1" fontId="19" fillId="8" borderId="5" xfId="0" applyNumberFormat="1" applyFont="1" applyFill="1" applyBorder="1" applyAlignment="1">
      <alignment horizontal="center"/>
    </xf>
    <xf numFmtId="1" fontId="19" fillId="5" borderId="0" xfId="0" applyNumberFormat="1" applyFont="1" applyFill="1" applyBorder="1" applyAlignment="1">
      <alignment horizontal="center"/>
    </xf>
    <xf numFmtId="0" fontId="96" fillId="5" borderId="27" xfId="0" applyFont="1" applyFill="1" applyBorder="1" applyAlignment="1">
      <alignment horizontal="center"/>
    </xf>
    <xf numFmtId="2" fontId="96" fillId="5" borderId="5" xfId="0" applyNumberFormat="1" applyFont="1" applyFill="1" applyBorder="1" applyAlignment="1">
      <alignment horizontal="center"/>
    </xf>
    <xf numFmtId="1" fontId="96" fillId="5" borderId="0" xfId="0" applyNumberFormat="1" applyFont="1" applyFill="1" applyBorder="1" applyAlignment="1">
      <alignment horizontal="center"/>
    </xf>
    <xf numFmtId="0" fontId="19" fillId="5" borderId="61" xfId="0" applyFont="1" applyFill="1" applyBorder="1" applyAlignment="1">
      <alignment horizontal="center"/>
    </xf>
    <xf numFmtId="0" fontId="19" fillId="5" borderId="46" xfId="0" applyFont="1" applyFill="1" applyBorder="1" applyAlignment="1">
      <alignment horizontal="center"/>
    </xf>
    <xf numFmtId="0" fontId="96" fillId="5" borderId="46" xfId="0" applyFont="1" applyFill="1" applyBorder="1" applyAlignment="1">
      <alignment horizontal="center"/>
    </xf>
    <xf numFmtId="40" fontId="96" fillId="5" borderId="46" xfId="15" applyNumberFormat="1" applyFont="1" applyFill="1" applyBorder="1" applyAlignment="1">
      <alignment horizontal="center"/>
    </xf>
    <xf numFmtId="38" fontId="96" fillId="5" borderId="0" xfId="15" applyNumberFormat="1" applyFont="1" applyFill="1" applyBorder="1" applyAlignment="1">
      <alignment horizontal="center"/>
    </xf>
    <xf numFmtId="0" fontId="96" fillId="5" borderId="61" xfId="0" applyFont="1" applyFill="1" applyBorder="1" applyAlignment="1">
      <alignment horizontal="center"/>
    </xf>
    <xf numFmtId="0" fontId="19" fillId="5" borderId="32" xfId="0" applyFont="1" applyFill="1" applyBorder="1" applyAlignment="1">
      <alignment horizontal="center"/>
    </xf>
    <xf numFmtId="0" fontId="88" fillId="5" borderId="32" xfId="0" applyFont="1" applyFill="1" applyBorder="1" applyAlignment="1">
      <alignment horizontal="center"/>
    </xf>
    <xf numFmtId="0" fontId="19" fillId="5" borderId="62" xfId="0" applyFont="1" applyFill="1" applyBorder="1" applyAlignment="1">
      <alignment horizontal="center"/>
    </xf>
    <xf numFmtId="0" fontId="96" fillId="5" borderId="62" xfId="0" applyFont="1" applyFill="1" applyBorder="1" applyAlignment="1">
      <alignment horizontal="center"/>
    </xf>
    <xf numFmtId="40" fontId="96" fillId="5" borderId="62" xfId="15" applyNumberFormat="1" applyFont="1" applyFill="1" applyBorder="1" applyAlignment="1">
      <alignment horizontal="center"/>
    </xf>
    <xf numFmtId="0" fontId="88" fillId="5" borderId="61" xfId="0" applyFont="1" applyFill="1" applyBorder="1" applyAlignment="1">
      <alignment horizontal="center"/>
    </xf>
    <xf numFmtId="0" fontId="88" fillId="5" borderId="46" xfId="0" applyFont="1" applyFill="1" applyBorder="1" applyAlignment="1">
      <alignment horizontal="center"/>
    </xf>
    <xf numFmtId="0" fontId="88" fillId="5" borderId="62" xfId="0" applyFont="1" applyFill="1" applyBorder="1" applyAlignment="1">
      <alignment horizontal="center"/>
    </xf>
    <xf numFmtId="189" fontId="96" fillId="5" borderId="0" xfId="15" applyNumberFormat="1" applyFont="1" applyFill="1" applyBorder="1" applyAlignment="1">
      <alignment horizontal="center"/>
    </xf>
    <xf numFmtId="38" fontId="94" fillId="5" borderId="46" xfId="15" applyNumberFormat="1" applyFont="1" applyFill="1" applyBorder="1" applyAlignment="1">
      <alignment horizontal="center"/>
    </xf>
    <xf numFmtId="38" fontId="94" fillId="5" borderId="63" xfId="15" applyNumberFormat="1" applyFont="1" applyFill="1" applyBorder="1" applyAlignment="1">
      <alignment horizontal="center"/>
    </xf>
    <xf numFmtId="38" fontId="94" fillId="5" borderId="3" xfId="15" applyNumberFormat="1" applyFont="1" applyFill="1" applyBorder="1" applyAlignment="1">
      <alignment horizontal="center"/>
    </xf>
    <xf numFmtId="0" fontId="96" fillId="5" borderId="64" xfId="0" applyFont="1" applyFill="1" applyBorder="1" applyAlignment="1">
      <alignment horizontal="center"/>
    </xf>
    <xf numFmtId="0" fontId="7" fillId="5" borderId="6" xfId="0" applyFont="1" applyFill="1" applyBorder="1" applyAlignment="1">
      <alignment wrapText="1"/>
    </xf>
    <xf numFmtId="0" fontId="73" fillId="5" borderId="46" xfId="0" applyFont="1" applyFill="1" applyBorder="1" applyAlignment="1">
      <alignment wrapText="1"/>
    </xf>
    <xf numFmtId="172" fontId="72" fillId="5" borderId="0" xfId="0" applyNumberFormat="1" applyFont="1" applyFill="1" applyBorder="1" applyAlignment="1">
      <alignment horizontal="right"/>
    </xf>
    <xf numFmtId="0" fontId="96" fillId="5" borderId="31" xfId="0" applyFont="1" applyFill="1" applyBorder="1" applyAlignment="1">
      <alignment horizontal="center"/>
    </xf>
    <xf numFmtId="0" fontId="96" fillId="5" borderId="65" xfId="0" applyFont="1" applyFill="1" applyBorder="1" applyAlignment="1">
      <alignment horizontal="center"/>
    </xf>
    <xf numFmtId="0" fontId="96" fillId="5" borderId="65" xfId="0" applyFont="1" applyFill="1" applyBorder="1" applyAlignment="1">
      <alignment/>
    </xf>
    <xf numFmtId="0" fontId="80" fillId="5" borderId="66" xfId="0" applyFont="1" applyFill="1" applyBorder="1" applyAlignment="1">
      <alignment horizontal="center"/>
    </xf>
    <xf numFmtId="0" fontId="80" fillId="5" borderId="67" xfId="0" applyFont="1" applyFill="1" applyBorder="1" applyAlignment="1">
      <alignment horizontal="center"/>
    </xf>
    <xf numFmtId="0" fontId="80" fillId="5" borderId="68" xfId="0" applyFont="1" applyFill="1" applyBorder="1" applyAlignment="1">
      <alignment horizontal="center"/>
    </xf>
    <xf numFmtId="0" fontId="80" fillId="5" borderId="58" xfId="0" applyFont="1" applyFill="1" applyBorder="1" applyAlignment="1">
      <alignment horizontal="center"/>
    </xf>
    <xf numFmtId="0" fontId="80" fillId="5" borderId="69" xfId="0" applyFont="1" applyFill="1" applyBorder="1" applyAlignment="1">
      <alignment horizontal="center"/>
    </xf>
    <xf numFmtId="0" fontId="96" fillId="5" borderId="6" xfId="0" applyFont="1" applyFill="1" applyBorder="1" applyAlignment="1">
      <alignment horizontal="center"/>
    </xf>
    <xf numFmtId="0" fontId="96" fillId="5" borderId="5" xfId="0" applyFont="1" applyFill="1" applyBorder="1" applyAlignment="1">
      <alignment horizontal="center"/>
    </xf>
    <xf numFmtId="0" fontId="96" fillId="5" borderId="32" xfId="0" applyFont="1" applyFill="1" applyBorder="1" applyAlignment="1">
      <alignment horizontal="center"/>
    </xf>
    <xf numFmtId="0" fontId="93" fillId="6" borderId="70" xfId="0" applyFont="1" applyFill="1" applyBorder="1" applyAlignment="1">
      <alignment horizontal="center"/>
    </xf>
    <xf numFmtId="0" fontId="93" fillId="6" borderId="7" xfId="0" applyFont="1" applyFill="1" applyBorder="1" applyAlignment="1">
      <alignment horizontal="center"/>
    </xf>
    <xf numFmtId="0" fontId="93" fillId="6" borderId="71" xfId="0" applyFont="1" applyFill="1" applyBorder="1" applyAlignment="1">
      <alignment horizontal="center"/>
    </xf>
    <xf numFmtId="0" fontId="104" fillId="6" borderId="72" xfId="0" applyFont="1" applyFill="1" applyBorder="1" applyAlignment="1">
      <alignment horizontal="center"/>
    </xf>
    <xf numFmtId="0" fontId="19" fillId="5" borderId="30" xfId="0" applyFont="1" applyFill="1" applyBorder="1" applyAlignment="1">
      <alignment/>
    </xf>
    <xf numFmtId="0" fontId="105" fillId="5" borderId="73" xfId="0" applyFont="1" applyFill="1" applyBorder="1" applyAlignment="1">
      <alignment horizontal="center"/>
    </xf>
    <xf numFmtId="0" fontId="105" fillId="5" borderId="74" xfId="0" applyFont="1" applyFill="1" applyBorder="1" applyAlignment="1">
      <alignment horizontal="center"/>
    </xf>
    <xf numFmtId="0" fontId="105" fillId="5" borderId="38" xfId="0" applyFont="1" applyFill="1" applyBorder="1" applyAlignment="1">
      <alignment horizontal="center"/>
    </xf>
    <xf numFmtId="0" fontId="77" fillId="5" borderId="0" xfId="0" applyFont="1" applyFill="1" applyAlignment="1">
      <alignment/>
    </xf>
    <xf numFmtId="49" fontId="106" fillId="5" borderId="1" xfId="0" applyNumberFormat="1" applyFont="1" applyFill="1" applyBorder="1" applyAlignment="1">
      <alignment horizontal="center"/>
    </xf>
    <xf numFmtId="0" fontId="66" fillId="0" borderId="1" xfId="0" applyFont="1" applyBorder="1" applyAlignment="1">
      <alignment vertical="center"/>
    </xf>
    <xf numFmtId="0" fontId="99" fillId="0" borderId="1" xfId="0" applyFont="1" applyBorder="1" applyAlignment="1">
      <alignment vertical="center"/>
    </xf>
    <xf numFmtId="0" fontId="66" fillId="0" borderId="1" xfId="0" applyFont="1" applyBorder="1" applyAlignment="1">
      <alignment vertical="center" wrapText="1"/>
    </xf>
    <xf numFmtId="0" fontId="99" fillId="0" borderId="1" xfId="0" applyFont="1" applyBorder="1" applyAlignment="1">
      <alignment vertical="center" wrapText="1"/>
    </xf>
    <xf numFmtId="0" fontId="100" fillId="0" borderId="1" xfId="0" applyFont="1" applyBorder="1" applyAlignment="1">
      <alignment vertical="center" wrapText="1"/>
    </xf>
    <xf numFmtId="0" fontId="77" fillId="0" borderId="1" xfId="0" applyFont="1" applyBorder="1" applyAlignment="1">
      <alignment vertical="center" wrapText="1"/>
    </xf>
    <xf numFmtId="0" fontId="66" fillId="0" borderId="1" xfId="0" applyFont="1" applyFill="1" applyBorder="1" applyAlignment="1">
      <alignment vertical="center" wrapText="1"/>
    </xf>
    <xf numFmtId="0" fontId="68" fillId="0" borderId="1" xfId="0" applyFont="1" applyBorder="1" applyAlignment="1">
      <alignment vertical="center" wrapText="1"/>
    </xf>
    <xf numFmtId="0" fontId="19" fillId="5" borderId="4" xfId="0" applyFont="1" applyFill="1" applyBorder="1" applyAlignment="1">
      <alignment horizontal="center"/>
    </xf>
    <xf numFmtId="2" fontId="22" fillId="5" borderId="17" xfId="0" applyNumberFormat="1" applyFont="1" applyFill="1" applyBorder="1" applyAlignment="1">
      <alignment horizontal="center"/>
    </xf>
    <xf numFmtId="2" fontId="95" fillId="0" borderId="17" xfId="0" applyNumberFormat="1" applyFont="1" applyBorder="1" applyAlignment="1">
      <alignment horizontal="center"/>
    </xf>
    <xf numFmtId="2" fontId="94" fillId="5" borderId="17" xfId="0" applyNumberFormat="1" applyFont="1" applyFill="1" applyBorder="1" applyAlignment="1">
      <alignment horizontal="center"/>
    </xf>
    <xf numFmtId="2" fontId="95" fillId="0" borderId="17" xfId="0" applyNumberFormat="1" applyFont="1" applyFill="1" applyBorder="1" applyAlignment="1">
      <alignment horizontal="center"/>
    </xf>
    <xf numFmtId="3" fontId="94" fillId="5" borderId="75" xfId="0" applyNumberFormat="1" applyFont="1" applyFill="1" applyBorder="1" applyAlignment="1">
      <alignment horizontal="center"/>
    </xf>
    <xf numFmtId="3" fontId="22" fillId="5" borderId="75" xfId="0" applyNumberFormat="1" applyFont="1" applyFill="1" applyBorder="1" applyAlignment="1">
      <alignment horizontal="center"/>
    </xf>
    <xf numFmtId="38" fontId="22" fillId="0" borderId="61" xfId="15" applyNumberFormat="1" applyFont="1" applyBorder="1" applyAlignment="1">
      <alignment horizontal="center"/>
    </xf>
    <xf numFmtId="38" fontId="22" fillId="0" borderId="32" xfId="15" applyNumberFormat="1" applyFont="1" applyBorder="1" applyAlignment="1">
      <alignment horizontal="center"/>
    </xf>
    <xf numFmtId="0" fontId="22" fillId="5" borderId="46" xfId="0" applyFont="1" applyFill="1" applyBorder="1" applyAlignment="1">
      <alignment/>
    </xf>
    <xf numFmtId="0" fontId="107" fillId="5" borderId="0" xfId="0" applyFont="1" applyFill="1" applyAlignment="1">
      <alignment/>
    </xf>
    <xf numFmtId="0" fontId="58" fillId="5" borderId="0" xfId="0" applyFont="1" applyFill="1" applyAlignment="1">
      <alignment/>
    </xf>
    <xf numFmtId="0" fontId="102" fillId="5" borderId="0" xfId="0" applyFont="1" applyFill="1" applyAlignment="1">
      <alignment horizontal="right"/>
    </xf>
    <xf numFmtId="187" fontId="109" fillId="5" borderId="5" xfId="0" applyNumberFormat="1" applyFont="1" applyFill="1" applyBorder="1" applyAlignment="1">
      <alignment horizontal="center"/>
    </xf>
    <xf numFmtId="187" fontId="102" fillId="6" borderId="5" xfId="15" applyNumberFormat="1" applyFont="1" applyFill="1" applyBorder="1" applyAlignment="1">
      <alignment horizontal="center"/>
    </xf>
    <xf numFmtId="187" fontId="102" fillId="6" borderId="5" xfId="0" applyNumberFormat="1" applyFont="1" applyFill="1" applyBorder="1" applyAlignment="1">
      <alignment horizontal="center"/>
    </xf>
    <xf numFmtId="187" fontId="78" fillId="5" borderId="5" xfId="0" applyNumberFormat="1" applyFont="1" applyFill="1" applyBorder="1" applyAlignment="1">
      <alignment horizontal="center" wrapText="1"/>
    </xf>
    <xf numFmtId="187" fontId="102" fillId="6" borderId="6" xfId="15" applyNumberFormat="1" applyFont="1" applyFill="1" applyBorder="1" applyAlignment="1">
      <alignment horizontal="center"/>
    </xf>
    <xf numFmtId="187" fontId="102" fillId="6" borderId="6" xfId="0" applyNumberFormat="1" applyFont="1" applyFill="1" applyBorder="1" applyAlignment="1">
      <alignment horizontal="center"/>
    </xf>
    <xf numFmtId="187" fontId="78" fillId="5" borderId="6" xfId="0" applyNumberFormat="1" applyFont="1" applyFill="1" applyBorder="1" applyAlignment="1">
      <alignment horizontal="center" wrapText="1"/>
    </xf>
    <xf numFmtId="187" fontId="102" fillId="6" borderId="46" xfId="15" applyNumberFormat="1" applyFont="1" applyFill="1" applyBorder="1" applyAlignment="1">
      <alignment horizontal="center"/>
    </xf>
    <xf numFmtId="187" fontId="102" fillId="6" borderId="46" xfId="0" applyNumberFormat="1" applyFont="1" applyFill="1" applyBorder="1" applyAlignment="1">
      <alignment horizontal="center"/>
    </xf>
    <xf numFmtId="187" fontId="78" fillId="5" borderId="46" xfId="0" applyNumberFormat="1" applyFont="1" applyFill="1" applyBorder="1" applyAlignment="1">
      <alignment horizontal="center" wrapText="1"/>
    </xf>
    <xf numFmtId="187" fontId="78" fillId="5" borderId="5" xfId="15" applyNumberFormat="1" applyFont="1" applyFill="1" applyBorder="1" applyAlignment="1">
      <alignment horizontal="center"/>
    </xf>
    <xf numFmtId="0" fontId="105" fillId="5" borderId="4" xfId="0" applyFont="1" applyFill="1" applyBorder="1" applyAlignment="1">
      <alignment horizontal="center"/>
    </xf>
    <xf numFmtId="0" fontId="105" fillId="5" borderId="5" xfId="0" applyFont="1" applyFill="1" applyBorder="1" applyAlignment="1">
      <alignment horizontal="center"/>
    </xf>
    <xf numFmtId="0" fontId="108" fillId="5" borderId="30" xfId="0" applyFont="1" applyFill="1" applyBorder="1" applyAlignment="1">
      <alignment horizontal="center"/>
    </xf>
    <xf numFmtId="0" fontId="108" fillId="5" borderId="30" xfId="0" applyFont="1" applyFill="1" applyBorder="1" applyAlignment="1">
      <alignment wrapText="1"/>
    </xf>
    <xf numFmtId="0" fontId="108" fillId="5" borderId="30" xfId="0" applyFont="1" applyFill="1" applyBorder="1" applyAlignment="1">
      <alignment horizontal="center" wrapText="1"/>
    </xf>
    <xf numFmtId="0" fontId="102" fillId="5" borderId="0" xfId="0" applyFont="1" applyFill="1" applyAlignment="1">
      <alignment horizontal="center" wrapText="1"/>
    </xf>
    <xf numFmtId="0" fontId="109" fillId="5" borderId="4" xfId="0" applyFont="1" applyFill="1" applyBorder="1" applyAlignment="1">
      <alignment horizontal="center"/>
    </xf>
    <xf numFmtId="0" fontId="102" fillId="0" borderId="4" xfId="0" applyFont="1" applyFill="1" applyBorder="1" applyAlignment="1">
      <alignment horizontal="center"/>
    </xf>
    <xf numFmtId="38" fontId="105" fillId="5" borderId="46" xfId="0" applyNumberFormat="1" applyFont="1" applyFill="1" applyBorder="1" applyAlignment="1">
      <alignment horizontal="center"/>
    </xf>
    <xf numFmtId="38" fontId="78" fillId="5" borderId="62" xfId="15" applyNumberFormat="1" applyFont="1" applyFill="1" applyBorder="1" applyAlignment="1">
      <alignment horizontal="center"/>
    </xf>
    <xf numFmtId="0" fontId="109" fillId="5" borderId="5" xfId="0" applyFont="1" applyFill="1" applyBorder="1" applyAlignment="1">
      <alignment horizontal="center"/>
    </xf>
    <xf numFmtId="0" fontId="102" fillId="0" borderId="5" xfId="0" applyFont="1" applyFill="1" applyBorder="1" applyAlignment="1">
      <alignment horizontal="center"/>
    </xf>
    <xf numFmtId="38" fontId="78" fillId="5" borderId="5" xfId="15" applyNumberFormat="1" applyFont="1" applyFill="1" applyBorder="1" applyAlignment="1">
      <alignment horizontal="center"/>
    </xf>
    <xf numFmtId="0" fontId="102" fillId="5" borderId="0" xfId="0" applyFont="1" applyFill="1" applyAlignment="1">
      <alignment/>
    </xf>
    <xf numFmtId="0" fontId="102" fillId="5" borderId="0" xfId="0" applyFont="1" applyFill="1" applyAlignment="1">
      <alignment horizontal="right"/>
    </xf>
    <xf numFmtId="38" fontId="78" fillId="5" borderId="5" xfId="0" applyNumberFormat="1" applyFont="1" applyFill="1" applyBorder="1" applyAlignment="1">
      <alignment horizontal="center"/>
    </xf>
    <xf numFmtId="0" fontId="19" fillId="0" borderId="0" xfId="0" applyFont="1" applyAlignment="1">
      <alignment horizontal="center" wrapText="1"/>
    </xf>
    <xf numFmtId="172" fontId="0" fillId="3" borderId="0" xfId="0" applyNumberFormat="1" applyFill="1" applyAlignment="1">
      <alignment horizontal="center"/>
    </xf>
    <xf numFmtId="0" fontId="21" fillId="3" borderId="0" xfId="0" applyFont="1" applyFill="1" applyAlignment="1">
      <alignment horizontal="center"/>
    </xf>
    <xf numFmtId="0" fontId="23" fillId="3" borderId="0" xfId="0" applyFont="1" applyFill="1" applyAlignment="1">
      <alignment horizontal="center"/>
    </xf>
    <xf numFmtId="0" fontId="23" fillId="3" borderId="0" xfId="0" applyFont="1" applyFill="1" applyAlignment="1">
      <alignment horizontal="center" wrapText="1"/>
    </xf>
    <xf numFmtId="172" fontId="21" fillId="2" borderId="19" xfId="0" applyNumberFormat="1" applyFont="1" applyFill="1" applyBorder="1" applyAlignment="1">
      <alignment horizontal="center" wrapText="1"/>
    </xf>
    <xf numFmtId="0" fontId="0" fillId="0" borderId="5" xfId="0" applyFont="1" applyBorder="1" applyAlignment="1">
      <alignment horizontal="center"/>
    </xf>
    <xf numFmtId="0" fontId="0" fillId="0" borderId="5" xfId="0" applyBorder="1" applyAlignment="1">
      <alignment horizontal="left" wrapText="1"/>
    </xf>
    <xf numFmtId="14" fontId="72" fillId="3" borderId="0" xfId="0" applyNumberFormat="1" applyFont="1" applyFill="1" applyAlignment="1">
      <alignment horizontal="left" wrapText="1"/>
    </xf>
    <xf numFmtId="0" fontId="110" fillId="3" borderId="0" xfId="0" applyFont="1" applyFill="1" applyAlignment="1">
      <alignment horizontal="left" wrapText="1"/>
    </xf>
    <xf numFmtId="0" fontId="72" fillId="3" borderId="0" xfId="0" applyFont="1" applyFill="1" applyAlignment="1">
      <alignment wrapText="1"/>
    </xf>
    <xf numFmtId="191" fontId="72" fillId="3" borderId="0" xfId="0" applyNumberFormat="1" applyFont="1" applyFill="1" applyAlignment="1">
      <alignment horizontal="left" wrapText="1"/>
    </xf>
    <xf numFmtId="0" fontId="110" fillId="3" borderId="0" xfId="0" applyFont="1" applyFill="1" applyAlignment="1">
      <alignment wrapText="1"/>
    </xf>
    <xf numFmtId="191" fontId="29" fillId="3" borderId="0" xfId="0" applyNumberFormat="1" applyFont="1" applyFill="1" applyAlignment="1">
      <alignment horizontal="left"/>
    </xf>
    <xf numFmtId="0" fontId="29" fillId="3" borderId="0" xfId="0" applyFont="1" applyFill="1" applyAlignment="1">
      <alignment/>
    </xf>
    <xf numFmtId="0" fontId="29" fillId="3" borderId="1" xfId="0" applyFont="1" applyFill="1" applyBorder="1" applyAlignment="1">
      <alignment/>
    </xf>
    <xf numFmtId="15" fontId="29" fillId="3" borderId="1" xfId="0" applyNumberFormat="1" applyFont="1" applyFill="1" applyBorder="1" applyAlignment="1">
      <alignment horizontal="left"/>
    </xf>
    <xf numFmtId="172" fontId="0" fillId="3" borderId="0" xfId="0" applyNumberFormat="1" applyFill="1" applyAlignment="1">
      <alignment horizontal="center" wrapText="1"/>
    </xf>
    <xf numFmtId="0" fontId="22" fillId="5" borderId="0" xfId="0" applyFont="1" applyFill="1" applyBorder="1" applyAlignment="1">
      <alignment/>
    </xf>
    <xf numFmtId="2" fontId="103" fillId="5" borderId="0" xfId="0" applyNumberFormat="1" applyFont="1" applyFill="1" applyBorder="1" applyAlignment="1">
      <alignment horizontal="right"/>
    </xf>
    <xf numFmtId="2" fontId="73" fillId="5" borderId="0" xfId="0" applyNumberFormat="1" applyFont="1" applyFill="1" applyBorder="1" applyAlignment="1">
      <alignment horizontal="left"/>
    </xf>
    <xf numFmtId="2" fontId="78" fillId="5" borderId="0" xfId="0" applyNumberFormat="1" applyFont="1" applyFill="1" applyBorder="1" applyAlignment="1">
      <alignment horizontal="right"/>
    </xf>
    <xf numFmtId="0" fontId="102" fillId="5" borderId="0" xfId="0" applyFont="1" applyFill="1" applyAlignment="1">
      <alignment horizontal="left"/>
    </xf>
    <xf numFmtId="0" fontId="66" fillId="5" borderId="0" xfId="0" applyFont="1" applyFill="1" applyAlignment="1">
      <alignment wrapText="1"/>
    </xf>
    <xf numFmtId="0" fontId="66" fillId="5" borderId="0" xfId="0" applyFont="1" applyFill="1" applyBorder="1" applyAlignment="1">
      <alignment wrapText="1"/>
    </xf>
    <xf numFmtId="0" fontId="107" fillId="5" borderId="0" xfId="0" applyFont="1" applyFill="1" applyAlignment="1">
      <alignment/>
    </xf>
    <xf numFmtId="0" fontId="0" fillId="5" borderId="0" xfId="0" applyFill="1" applyAlignment="1">
      <alignment/>
    </xf>
    <xf numFmtId="0" fontId="78" fillId="5" borderId="0" xfId="0" applyFont="1" applyFill="1" applyBorder="1" applyAlignment="1">
      <alignment horizontal="center"/>
    </xf>
    <xf numFmtId="0" fontId="66" fillId="5" borderId="0" xfId="0" applyFont="1" applyFill="1" applyBorder="1" applyAlignment="1">
      <alignment/>
    </xf>
    <xf numFmtId="1" fontId="112" fillId="5" borderId="5" xfId="0" applyNumberFormat="1" applyFont="1" applyFill="1" applyBorder="1" applyAlignment="1">
      <alignment horizontal="center"/>
    </xf>
    <xf numFmtId="1" fontId="78" fillId="5" borderId="3" xfId="0" applyNumberFormat="1" applyFont="1" applyFill="1" applyBorder="1" applyAlignment="1">
      <alignment horizontal="center"/>
    </xf>
    <xf numFmtId="0" fontId="77" fillId="5" borderId="0" xfId="0" applyFont="1" applyFill="1" applyAlignment="1">
      <alignment/>
    </xf>
    <xf numFmtId="0" fontId="102" fillId="5" borderId="0" xfId="0" applyFont="1" applyFill="1" applyAlignment="1">
      <alignment/>
    </xf>
    <xf numFmtId="172" fontId="95" fillId="5" borderId="0" xfId="0" applyNumberFormat="1" applyFont="1" applyFill="1" applyBorder="1" applyAlignment="1">
      <alignment horizontal="right"/>
    </xf>
    <xf numFmtId="0" fontId="114" fillId="5" borderId="3" xfId="0" applyFont="1" applyFill="1" applyBorder="1" applyAlignment="1">
      <alignment horizontal="center"/>
    </xf>
    <xf numFmtId="1" fontId="72" fillId="5" borderId="32" xfId="0" applyNumberFormat="1" applyFont="1" applyFill="1" applyBorder="1" applyAlignment="1">
      <alignment horizontal="center"/>
    </xf>
    <xf numFmtId="1" fontId="72" fillId="5" borderId="5" xfId="0" applyNumberFormat="1" applyFont="1" applyFill="1" applyBorder="1" applyAlignment="1">
      <alignment horizontal="center"/>
    </xf>
    <xf numFmtId="0" fontId="66" fillId="5" borderId="0" xfId="0" applyFont="1" applyFill="1" applyBorder="1" applyAlignment="1">
      <alignment/>
    </xf>
    <xf numFmtId="0" fontId="77" fillId="5" borderId="0" xfId="0" applyFont="1" applyFill="1" applyBorder="1" applyAlignment="1">
      <alignment/>
    </xf>
    <xf numFmtId="0" fontId="102" fillId="5" borderId="0" xfId="0" applyFont="1" applyFill="1" applyBorder="1" applyAlignment="1">
      <alignment/>
    </xf>
    <xf numFmtId="0" fontId="0" fillId="5" borderId="0" xfId="0" applyFill="1" applyBorder="1" applyAlignment="1">
      <alignment/>
    </xf>
    <xf numFmtId="0" fontId="0" fillId="5" borderId="0" xfId="0" applyFill="1" applyBorder="1" applyAlignment="1">
      <alignment/>
    </xf>
    <xf numFmtId="0" fontId="54" fillId="5" borderId="33" xfId="0" applyFont="1" applyFill="1" applyBorder="1" applyAlignment="1">
      <alignment/>
    </xf>
    <xf numFmtId="0" fontId="8" fillId="5" borderId="33" xfId="0" applyFont="1" applyFill="1" applyBorder="1" applyAlignment="1">
      <alignment/>
    </xf>
    <xf numFmtId="0" fontId="50" fillId="5" borderId="0" xfId="0" applyFont="1" applyFill="1" applyAlignment="1">
      <alignment/>
    </xf>
    <xf numFmtId="0" fontId="102" fillId="5" borderId="0" xfId="0" applyFont="1" applyFill="1" applyBorder="1" applyAlignment="1">
      <alignment horizontal="right"/>
    </xf>
    <xf numFmtId="0" fontId="3" fillId="10" borderId="0" xfId="0" applyFont="1" applyFill="1" applyAlignment="1">
      <alignment/>
    </xf>
    <xf numFmtId="0" fontId="3" fillId="0" borderId="0" xfId="0" applyFont="1" applyFill="1" applyAlignment="1">
      <alignment/>
    </xf>
    <xf numFmtId="0" fontId="0" fillId="0" borderId="5" xfId="0" applyFill="1" applyBorder="1" applyAlignment="1">
      <alignment/>
    </xf>
    <xf numFmtId="1" fontId="0" fillId="0" borderId="0" xfId="0" applyNumberFormat="1" applyAlignment="1">
      <alignment horizontal="center"/>
    </xf>
    <xf numFmtId="2" fontId="0" fillId="0" borderId="0" xfId="0" applyNumberFormat="1" applyAlignment="1">
      <alignment horizontal="center"/>
    </xf>
    <xf numFmtId="0" fontId="19" fillId="0" borderId="0" xfId="0" applyFont="1" applyAlignment="1">
      <alignment horizontal="left"/>
    </xf>
    <xf numFmtId="49" fontId="0" fillId="0" borderId="0" xfId="0" applyNumberFormat="1" applyAlignment="1">
      <alignment horizontal="center"/>
    </xf>
    <xf numFmtId="3" fontId="0" fillId="0" borderId="0" xfId="0" applyNumberFormat="1" applyAlignment="1">
      <alignment horizontal="center"/>
    </xf>
    <xf numFmtId="38" fontId="0" fillId="0" borderId="0" xfId="0" applyNumberFormat="1" applyAlignment="1">
      <alignment horizontal="center"/>
    </xf>
    <xf numFmtId="1" fontId="78" fillId="5" borderId="76" xfId="0" applyNumberFormat="1" applyFont="1" applyFill="1" applyBorder="1" applyAlignment="1">
      <alignment horizontal="center"/>
    </xf>
    <xf numFmtId="0" fontId="8" fillId="5" borderId="0" xfId="0" applyFont="1" applyFill="1" applyAlignment="1">
      <alignment/>
    </xf>
    <xf numFmtId="1" fontId="78" fillId="5" borderId="0" xfId="0" applyNumberFormat="1" applyFont="1" applyFill="1" applyBorder="1" applyAlignment="1">
      <alignment horizontal="center"/>
    </xf>
    <xf numFmtId="172" fontId="111" fillId="5" borderId="76" xfId="0" applyNumberFormat="1" applyFont="1" applyFill="1" applyBorder="1" applyAlignment="1">
      <alignment horizontal="left"/>
    </xf>
    <xf numFmtId="0" fontId="113" fillId="5" borderId="0" xfId="0" applyFont="1" applyFill="1" applyBorder="1" applyAlignment="1">
      <alignment horizontal="center" wrapText="1"/>
    </xf>
    <xf numFmtId="0" fontId="7" fillId="5" borderId="0" xfId="0" applyFont="1" applyFill="1" applyBorder="1" applyAlignment="1">
      <alignment/>
    </xf>
    <xf numFmtId="2" fontId="118" fillId="5" borderId="0" xfId="0" applyNumberFormat="1" applyFont="1" applyFill="1" applyBorder="1" applyAlignment="1">
      <alignment horizontal="left"/>
    </xf>
    <xf numFmtId="0" fontId="75" fillId="5" borderId="0" xfId="0" applyFont="1" applyFill="1" applyAlignment="1">
      <alignment horizontal="center"/>
    </xf>
    <xf numFmtId="2" fontId="52" fillId="5" borderId="0" xfId="0" applyNumberFormat="1" applyFont="1" applyFill="1" applyBorder="1" applyAlignment="1">
      <alignment horizontal="center"/>
    </xf>
    <xf numFmtId="1" fontId="7" fillId="0" borderId="3" xfId="0" applyNumberFormat="1" applyFont="1" applyFill="1" applyBorder="1" applyAlignment="1">
      <alignment horizontal="center"/>
    </xf>
    <xf numFmtId="176" fontId="102" fillId="0" borderId="5" xfId="0" applyNumberFormat="1" applyFont="1" applyFill="1" applyBorder="1" applyAlignment="1">
      <alignment horizontal="center"/>
    </xf>
    <xf numFmtId="1" fontId="114" fillId="5" borderId="5" xfId="0" applyNumberFormat="1" applyFont="1" applyFill="1" applyBorder="1" applyAlignment="1">
      <alignment horizontal="center" wrapText="1"/>
    </xf>
    <xf numFmtId="172" fontId="29" fillId="3" borderId="5" xfId="0" applyNumberFormat="1" applyFont="1" applyFill="1" applyBorder="1" applyAlignment="1">
      <alignment horizontal="center" wrapText="1"/>
    </xf>
    <xf numFmtId="0" fontId="119" fillId="0" borderId="1" xfId="0" applyFont="1" applyFill="1" applyBorder="1" applyAlignment="1">
      <alignment horizontal="left" vertical="center" wrapText="1"/>
    </xf>
    <xf numFmtId="176" fontId="0" fillId="0" borderId="0" xfId="0" applyNumberFormat="1" applyAlignment="1">
      <alignment horizontal="center"/>
    </xf>
    <xf numFmtId="2" fontId="22" fillId="5" borderId="1" xfId="0" applyNumberFormat="1" applyFont="1" applyFill="1" applyBorder="1" applyAlignment="1">
      <alignment horizontal="center"/>
    </xf>
    <xf numFmtId="3" fontId="94" fillId="5" borderId="1" xfId="0" applyNumberFormat="1" applyFont="1" applyFill="1" applyBorder="1" applyAlignment="1">
      <alignment horizontal="center"/>
    </xf>
    <xf numFmtId="3" fontId="88" fillId="5" borderId="1" xfId="0" applyNumberFormat="1" applyFont="1" applyFill="1" applyBorder="1" applyAlignment="1">
      <alignment horizontal="center"/>
    </xf>
    <xf numFmtId="3" fontId="22" fillId="5" borderId="1" xfId="0" applyNumberFormat="1" applyFont="1" applyFill="1" applyBorder="1" applyAlignment="1">
      <alignment horizontal="center"/>
    </xf>
    <xf numFmtId="3" fontId="66" fillId="5" borderId="1" xfId="0" applyNumberFormat="1" applyFont="1" applyFill="1" applyBorder="1" applyAlignment="1">
      <alignment horizontal="center"/>
    </xf>
    <xf numFmtId="3" fontId="0" fillId="0" borderId="0" xfId="0" applyNumberFormat="1" applyAlignment="1">
      <alignment/>
    </xf>
    <xf numFmtId="4" fontId="94" fillId="5" borderId="75" xfId="0" applyNumberFormat="1" applyFont="1" applyFill="1" applyBorder="1" applyAlignment="1">
      <alignment horizontal="center"/>
    </xf>
    <xf numFmtId="38" fontId="120" fillId="5" borderId="1" xfId="15" applyNumberFormat="1" applyFont="1" applyFill="1" applyBorder="1" applyAlignment="1">
      <alignment horizontal="center"/>
    </xf>
    <xf numFmtId="3" fontId="121" fillId="5" borderId="75" xfId="0" applyNumberFormat="1" applyFont="1" applyFill="1" applyBorder="1" applyAlignment="1">
      <alignment horizontal="center"/>
    </xf>
    <xf numFmtId="0" fontId="100" fillId="0" borderId="1" xfId="0" applyFont="1" applyBorder="1" applyAlignment="1">
      <alignment/>
    </xf>
    <xf numFmtId="0" fontId="100" fillId="0" borderId="1" xfId="0" applyFont="1" applyBorder="1" applyAlignment="1">
      <alignment horizontal="center"/>
    </xf>
    <xf numFmtId="0" fontId="122" fillId="0" borderId="1" xfId="0" applyFont="1" applyBorder="1" applyAlignment="1">
      <alignment vertical="center" wrapText="1"/>
    </xf>
    <xf numFmtId="49" fontId="123" fillId="0" borderId="0" xfId="0" applyNumberFormat="1" applyFont="1" applyAlignment="1">
      <alignment/>
    </xf>
    <xf numFmtId="2" fontId="95" fillId="5" borderId="17" xfId="0" applyNumberFormat="1" applyFont="1" applyFill="1" applyBorder="1" applyAlignment="1">
      <alignment horizontal="center"/>
    </xf>
    <xf numFmtId="3" fontId="18" fillId="3" borderId="6" xfId="15" applyNumberFormat="1" applyFont="1" applyFill="1" applyBorder="1" applyAlignment="1">
      <alignment horizontal="center"/>
    </xf>
    <xf numFmtId="181" fontId="0" fillId="0" borderId="0" xfId="0" applyNumberFormat="1" applyAlignment="1">
      <alignment horizontal="center"/>
    </xf>
    <xf numFmtId="0" fontId="66" fillId="0" borderId="1" xfId="0" applyFont="1" applyBorder="1" applyAlignment="1">
      <alignment horizontal="center"/>
    </xf>
    <xf numFmtId="2" fontId="41" fillId="0" borderId="17" xfId="0" applyNumberFormat="1" applyFont="1" applyFill="1" applyBorder="1" applyAlignment="1">
      <alignment horizontal="center"/>
    </xf>
    <xf numFmtId="0" fontId="66" fillId="0" borderId="0" xfId="0" applyFont="1" applyAlignment="1">
      <alignment/>
    </xf>
    <xf numFmtId="0" fontId="0" fillId="0" borderId="0" xfId="0" applyFont="1" applyAlignment="1">
      <alignment wrapText="1"/>
    </xf>
    <xf numFmtId="181" fontId="0" fillId="0" borderId="0" xfId="0" applyNumberFormat="1" applyFont="1" applyAlignment="1">
      <alignment horizontal="center"/>
    </xf>
    <xf numFmtId="1" fontId="0" fillId="0" borderId="0" xfId="0" applyNumberFormat="1" applyFill="1" applyAlignment="1">
      <alignment horizontal="center"/>
    </xf>
    <xf numFmtId="37" fontId="0" fillId="0" borderId="0" xfId="0" applyNumberFormat="1" applyFill="1" applyAlignment="1">
      <alignment horizontal="center"/>
    </xf>
    <xf numFmtId="199" fontId="0" fillId="0" borderId="0" xfId="0" applyNumberFormat="1" applyFill="1" applyAlignment="1">
      <alignment horizontal="center"/>
    </xf>
    <xf numFmtId="2" fontId="0" fillId="0" borderId="0" xfId="0" applyNumberFormat="1" applyFill="1" applyAlignment="1">
      <alignment horizontal="center"/>
    </xf>
    <xf numFmtId="0" fontId="0" fillId="0" borderId="5" xfId="0" applyFill="1" applyBorder="1" applyAlignment="1">
      <alignment horizontal="center"/>
    </xf>
    <xf numFmtId="0" fontId="0" fillId="0" borderId="5" xfId="0" applyFont="1" applyFill="1" applyBorder="1" applyAlignment="1">
      <alignment horizontal="left" wrapText="1"/>
    </xf>
    <xf numFmtId="0" fontId="0" fillId="0" borderId="0" xfId="0" applyFill="1" applyAlignment="1">
      <alignment horizontal="center"/>
    </xf>
    <xf numFmtId="0" fontId="21" fillId="0" borderId="0" xfId="0" applyFont="1" applyFill="1" applyAlignment="1">
      <alignment horizontal="center"/>
    </xf>
    <xf numFmtId="0" fontId="23" fillId="0" borderId="0" xfId="0" applyFont="1" applyFill="1" applyAlignment="1">
      <alignment horizontal="center"/>
    </xf>
    <xf numFmtId="0" fontId="0" fillId="0" borderId="0" xfId="0" applyFill="1" applyAlignment="1">
      <alignment/>
    </xf>
    <xf numFmtId="0" fontId="0" fillId="0" borderId="5" xfId="0" applyFill="1" applyBorder="1" applyAlignment="1">
      <alignment wrapText="1"/>
    </xf>
    <xf numFmtId="0" fontId="0" fillId="0" borderId="0" xfId="0" applyFill="1" applyAlignment="1">
      <alignment wrapText="1"/>
    </xf>
    <xf numFmtId="194" fontId="29" fillId="3" borderId="5" xfId="15" applyNumberFormat="1" applyFont="1" applyFill="1" applyBorder="1" applyAlignment="1">
      <alignment horizontal="center"/>
    </xf>
    <xf numFmtId="2" fontId="41" fillId="6" borderId="17" xfId="0" applyNumberFormat="1" applyFont="1" applyFill="1" applyBorder="1" applyAlignment="1">
      <alignment horizontal="center"/>
    </xf>
    <xf numFmtId="0" fontId="66" fillId="0" borderId="1" xfId="0" applyFont="1" applyFill="1" applyBorder="1" applyAlignment="1">
      <alignment horizontal="center"/>
    </xf>
    <xf numFmtId="0" fontId="1" fillId="9" borderId="0" xfId="0" applyFont="1" applyFill="1" applyAlignment="1">
      <alignment wrapText="1"/>
    </xf>
    <xf numFmtId="0" fontId="1" fillId="9" borderId="0" xfId="0" applyFont="1" applyFill="1" applyAlignment="1">
      <alignment horizontal="center"/>
    </xf>
    <xf numFmtId="0" fontId="8" fillId="9" borderId="0" xfId="0" applyFont="1" applyFill="1" applyAlignment="1">
      <alignment wrapText="1"/>
    </xf>
    <xf numFmtId="0" fontId="8" fillId="9" borderId="0" xfId="0" applyFont="1" applyFill="1" applyAlignment="1">
      <alignment horizontal="center"/>
    </xf>
    <xf numFmtId="0" fontId="7" fillId="0" borderId="11" xfId="0" applyFont="1" applyFill="1" applyBorder="1" applyAlignment="1">
      <alignment wrapText="1"/>
    </xf>
    <xf numFmtId="15" fontId="7" fillId="0" borderId="11" xfId="0" applyNumberFormat="1" applyFont="1" applyFill="1" applyBorder="1" applyAlignment="1">
      <alignment horizontal="left" wrapText="1"/>
    </xf>
    <xf numFmtId="9" fontId="0" fillId="0" borderId="0" xfId="0" applyNumberFormat="1" applyAlignment="1">
      <alignment horizontal="center"/>
    </xf>
    <xf numFmtId="3" fontId="124" fillId="0" borderId="5" xfId="0" applyNumberFormat="1" applyFont="1" applyFill="1" applyBorder="1" applyAlignment="1">
      <alignment horizontal="center"/>
    </xf>
    <xf numFmtId="0" fontId="3" fillId="0" borderId="0" xfId="0" applyFont="1" applyFill="1" applyBorder="1" applyAlignment="1">
      <alignment horizontal="left" vertical="top" wrapText="1" indent="3"/>
    </xf>
    <xf numFmtId="0" fontId="0" fillId="0" borderId="0" xfId="0" applyAlignment="1">
      <alignment vertical="top"/>
    </xf>
    <xf numFmtId="0" fontId="0" fillId="0" borderId="31" xfId="0" applyBorder="1" applyAlignment="1">
      <alignment vertical="top"/>
    </xf>
    <xf numFmtId="0" fontId="0" fillId="0" borderId="0" xfId="0" applyAlignment="1">
      <alignment wrapText="1"/>
    </xf>
    <xf numFmtId="0" fontId="29" fillId="3" borderId="0" xfId="0" applyFont="1" applyFill="1" applyAlignment="1">
      <alignment horizontal="center" wrapText="1"/>
    </xf>
    <xf numFmtId="191" fontId="29" fillId="3" borderId="0" xfId="0" applyNumberFormat="1" applyFont="1" applyFill="1" applyAlignment="1">
      <alignment horizontal="center" wrapText="1"/>
    </xf>
    <xf numFmtId="0" fontId="4" fillId="0" borderId="25" xfId="0" applyFont="1" applyFill="1" applyBorder="1" applyAlignment="1">
      <alignment horizontal="left"/>
    </xf>
    <xf numFmtId="0" fontId="0" fillId="0" borderId="0" xfId="0" applyAlignment="1">
      <alignment/>
    </xf>
    <xf numFmtId="0" fontId="3" fillId="0" borderId="25" xfId="0" applyFont="1" applyFill="1" applyBorder="1" applyAlignment="1">
      <alignment wrapText="1"/>
    </xf>
    <xf numFmtId="0" fontId="0" fillId="0" borderId="0" xfId="0" applyAlignment="1">
      <alignment horizontal="left" wrapText="1" indent="6"/>
    </xf>
    <xf numFmtId="0" fontId="0" fillId="0" borderId="29" xfId="0" applyBorder="1" applyAlignment="1">
      <alignment horizontal="left" wrapText="1"/>
    </xf>
    <xf numFmtId="0" fontId="0" fillId="0" borderId="29" xfId="0" applyBorder="1" applyAlignment="1">
      <alignment wrapText="1"/>
    </xf>
    <xf numFmtId="0" fontId="0" fillId="0" borderId="1" xfId="0" applyBorder="1" applyAlignment="1">
      <alignment horizontal="left" wrapText="1"/>
    </xf>
    <xf numFmtId="0" fontId="0" fillId="0" borderId="1" xfId="0" applyBorder="1" applyAlignment="1">
      <alignment wrapText="1"/>
    </xf>
    <xf numFmtId="0" fontId="0" fillId="0" borderId="10" xfId="0" applyBorder="1" applyAlignment="1">
      <alignment wrapText="1"/>
    </xf>
    <xf numFmtId="0" fontId="0" fillId="0" borderId="1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314"/>
  <sheetViews>
    <sheetView view="pageBreakPreview" zoomScale="60" zoomScaleNormal="75" workbookViewId="0" topLeftCell="A280">
      <selection activeCell="F37" sqref="F37"/>
    </sheetView>
  </sheetViews>
  <sheetFormatPr defaultColWidth="9.140625" defaultRowHeight="12.75"/>
  <cols>
    <col min="1" max="1" width="12.28125" style="0" customWidth="1"/>
    <col min="2" max="2" width="62.8515625" style="0" customWidth="1"/>
    <col min="3" max="3" width="31.140625" style="0" customWidth="1"/>
    <col min="4" max="15" width="16.7109375" style="0" customWidth="1"/>
    <col min="16" max="16" width="46.57421875" style="0" customWidth="1"/>
    <col min="17" max="17" width="36.140625" style="0" customWidth="1"/>
    <col min="18" max="18" width="15.57421875" style="0" customWidth="1"/>
    <col min="19" max="20" width="14.140625" style="0" customWidth="1"/>
    <col min="21" max="22" width="13.00390625" style="0" customWidth="1"/>
  </cols>
  <sheetData>
    <row r="1" spans="1:31" ht="27" thickBot="1">
      <c r="A1" s="163" t="s">
        <v>724</v>
      </c>
      <c r="B1" s="164"/>
      <c r="C1" s="165"/>
      <c r="D1" s="467" t="s">
        <v>725</v>
      </c>
      <c r="E1" s="164"/>
      <c r="F1" s="152"/>
      <c r="G1" s="152"/>
      <c r="H1" s="152"/>
      <c r="I1" s="152"/>
      <c r="J1" s="152"/>
      <c r="K1" s="152"/>
      <c r="L1" s="152"/>
      <c r="M1" s="152"/>
      <c r="N1" s="152"/>
      <c r="O1" s="152"/>
      <c r="P1" s="153" t="s">
        <v>726</v>
      </c>
      <c r="Q1" s="153" t="s">
        <v>727</v>
      </c>
      <c r="R1" s="153" t="s">
        <v>728</v>
      </c>
      <c r="S1" s="166"/>
      <c r="T1" s="166"/>
      <c r="U1" s="166"/>
      <c r="V1" s="166"/>
      <c r="W1" s="166"/>
      <c r="X1" s="166"/>
      <c r="Y1" s="166"/>
      <c r="Z1" s="166"/>
      <c r="AA1" s="166"/>
      <c r="AB1" s="166"/>
      <c r="AC1" s="166"/>
      <c r="AD1" s="167"/>
      <c r="AE1" s="164"/>
    </row>
    <row r="2" spans="1:31" ht="16.5" thickBot="1">
      <c r="A2" s="164"/>
      <c r="B2" s="164"/>
      <c r="C2" s="168"/>
      <c r="D2" s="467" t="s">
        <v>729</v>
      </c>
      <c r="E2" s="164"/>
      <c r="F2" s="152"/>
      <c r="G2" s="152"/>
      <c r="H2" s="152"/>
      <c r="I2" s="152"/>
      <c r="J2" s="152"/>
      <c r="K2" s="152"/>
      <c r="L2" s="152"/>
      <c r="M2" s="152"/>
      <c r="N2" s="152"/>
      <c r="O2" s="152"/>
      <c r="P2" s="169">
        <f aca="true" t="shared" si="0" ref="P2:P13">IF(C42&lt;=0,0,$C$22/(5*C42-$C$22))</f>
        <v>0</v>
      </c>
      <c r="Q2" s="169">
        <f>IF(1&lt;P2&lt;0,0,P2)</f>
        <v>0</v>
      </c>
      <c r="R2" s="169">
        <f>Q2/(1-Q2)</f>
        <v>0</v>
      </c>
      <c r="S2" s="166"/>
      <c r="T2" s="166"/>
      <c r="U2" s="166"/>
      <c r="V2" s="166"/>
      <c r="W2" s="166"/>
      <c r="X2" s="166"/>
      <c r="Y2" s="166"/>
      <c r="Z2" s="166"/>
      <c r="AA2" s="166"/>
      <c r="AB2" s="166"/>
      <c r="AC2" s="166"/>
      <c r="AD2" s="167"/>
      <c r="AE2" s="164"/>
    </row>
    <row r="3" spans="1:31" ht="16.5" thickBot="1">
      <c r="A3" s="164"/>
      <c r="B3" s="164"/>
      <c r="C3" s="492">
        <v>3</v>
      </c>
      <c r="D3" s="467" t="s">
        <v>730</v>
      </c>
      <c r="E3" s="164"/>
      <c r="F3" s="152"/>
      <c r="G3" s="152"/>
      <c r="H3" s="152"/>
      <c r="I3" s="152"/>
      <c r="J3" s="152"/>
      <c r="K3" s="152"/>
      <c r="L3" s="152"/>
      <c r="M3" s="152"/>
      <c r="N3" s="152"/>
      <c r="O3" s="152"/>
      <c r="P3" s="169">
        <f t="shared" si="0"/>
        <v>0</v>
      </c>
      <c r="Q3" s="169">
        <f aca="true" t="shared" si="1" ref="Q3:Q19">IF(1&lt;P3&lt;0,0,P3)</f>
        <v>0</v>
      </c>
      <c r="R3" s="169">
        <f aca="true" t="shared" si="2" ref="R3:R19">Q3/(1-Q3)</f>
        <v>0</v>
      </c>
      <c r="S3" s="166"/>
      <c r="T3" s="166"/>
      <c r="U3" s="166"/>
      <c r="V3" s="166"/>
      <c r="W3" s="166"/>
      <c r="X3" s="166"/>
      <c r="Y3" s="166"/>
      <c r="Z3" s="166"/>
      <c r="AA3" s="166"/>
      <c r="AB3" s="166"/>
      <c r="AC3" s="166"/>
      <c r="AD3" s="167"/>
      <c r="AE3" s="164"/>
    </row>
    <row r="4" spans="1:31" ht="16.5" thickBot="1">
      <c r="A4" s="171"/>
      <c r="B4" s="164"/>
      <c r="C4" s="493">
        <v>4</v>
      </c>
      <c r="D4" s="467" t="s">
        <v>1314</v>
      </c>
      <c r="E4" s="164"/>
      <c r="F4" s="152"/>
      <c r="G4" s="152"/>
      <c r="H4" s="152"/>
      <c r="I4" s="152"/>
      <c r="J4" s="152"/>
      <c r="K4" s="152"/>
      <c r="L4" s="152"/>
      <c r="M4" s="152"/>
      <c r="N4" s="152"/>
      <c r="O4" s="152"/>
      <c r="P4" s="169">
        <f t="shared" si="0"/>
        <v>0</v>
      </c>
      <c r="Q4" s="169">
        <f t="shared" si="1"/>
        <v>0</v>
      </c>
      <c r="R4" s="169">
        <f t="shared" si="2"/>
        <v>0</v>
      </c>
      <c r="S4" s="166"/>
      <c r="T4" s="166"/>
      <c r="U4" s="166"/>
      <c r="V4" s="166"/>
      <c r="W4" s="166"/>
      <c r="X4" s="166"/>
      <c r="Y4" s="166"/>
      <c r="Z4" s="166"/>
      <c r="AA4" s="166"/>
      <c r="AB4" s="166"/>
      <c r="AC4" s="166"/>
      <c r="AD4" s="167"/>
      <c r="AE4" s="164"/>
    </row>
    <row r="5" spans="1:31" ht="15.75">
      <c r="A5" s="172"/>
      <c r="B5" s="173"/>
      <c r="C5" s="173"/>
      <c r="D5" s="173"/>
      <c r="E5" s="173"/>
      <c r="F5" s="173"/>
      <c r="G5" s="173"/>
      <c r="H5" s="173"/>
      <c r="I5" s="173"/>
      <c r="J5" s="173"/>
      <c r="K5" s="173"/>
      <c r="L5" s="173"/>
      <c r="M5" s="173"/>
      <c r="N5" s="173"/>
      <c r="O5" s="173"/>
      <c r="P5" s="169">
        <f t="shared" si="0"/>
        <v>0</v>
      </c>
      <c r="Q5" s="169">
        <f t="shared" si="1"/>
        <v>0</v>
      </c>
      <c r="R5" s="169">
        <f t="shared" si="2"/>
        <v>0</v>
      </c>
      <c r="S5" s="166"/>
      <c r="T5" s="166"/>
      <c r="U5" s="166"/>
      <c r="V5" s="166"/>
      <c r="W5" s="166"/>
      <c r="X5" s="166"/>
      <c r="Y5" s="166"/>
      <c r="Z5" s="166"/>
      <c r="AA5" s="166"/>
      <c r="AB5" s="166"/>
      <c r="AC5" s="166"/>
      <c r="AD5" s="167"/>
      <c r="AE5" s="164"/>
    </row>
    <row r="6" spans="1:31" ht="15.75">
      <c r="A6" s="152"/>
      <c r="B6" s="152"/>
      <c r="C6" s="152"/>
      <c r="D6" s="152"/>
      <c r="E6" s="152"/>
      <c r="F6" s="152"/>
      <c r="G6" s="152"/>
      <c r="H6" s="152"/>
      <c r="I6" s="152"/>
      <c r="J6" s="152"/>
      <c r="K6" s="152"/>
      <c r="L6" s="152"/>
      <c r="M6" s="152"/>
      <c r="N6" s="152"/>
      <c r="O6" s="152"/>
      <c r="P6" s="169">
        <f t="shared" si="0"/>
        <v>0</v>
      </c>
      <c r="Q6" s="169">
        <f t="shared" si="1"/>
        <v>0</v>
      </c>
      <c r="R6" s="169">
        <f t="shared" si="2"/>
        <v>0</v>
      </c>
      <c r="S6" s="166"/>
      <c r="T6" s="166"/>
      <c r="U6" s="166"/>
      <c r="V6" s="166"/>
      <c r="W6" s="166"/>
      <c r="X6" s="166"/>
      <c r="Y6" s="166"/>
      <c r="Z6" s="166"/>
      <c r="AA6" s="166"/>
      <c r="AB6" s="166"/>
      <c r="AC6" s="166"/>
      <c r="AD6" s="167"/>
      <c r="AE6" s="164"/>
    </row>
    <row r="7" spans="1:31" ht="15.75">
      <c r="A7" s="152"/>
      <c r="B7" s="152"/>
      <c r="C7" s="152"/>
      <c r="D7" s="152"/>
      <c r="E7" s="152"/>
      <c r="F7" s="152"/>
      <c r="G7" s="152"/>
      <c r="H7" s="152"/>
      <c r="I7" s="152"/>
      <c r="J7" s="152"/>
      <c r="K7" s="152"/>
      <c r="L7" s="152"/>
      <c r="M7" s="152"/>
      <c r="N7" s="152"/>
      <c r="O7" s="152"/>
      <c r="P7" s="169">
        <f t="shared" si="0"/>
        <v>0</v>
      </c>
      <c r="Q7" s="169">
        <f t="shared" si="1"/>
        <v>0</v>
      </c>
      <c r="R7" s="169">
        <f t="shared" si="2"/>
        <v>0</v>
      </c>
      <c r="S7" s="166"/>
      <c r="T7" s="166"/>
      <c r="U7" s="166"/>
      <c r="V7" s="166"/>
      <c r="W7" s="166"/>
      <c r="X7" s="166"/>
      <c r="Y7" s="166"/>
      <c r="Z7" s="166"/>
      <c r="AA7" s="166"/>
      <c r="AB7" s="166"/>
      <c r="AC7" s="166"/>
      <c r="AD7" s="167"/>
      <c r="AE7" s="164"/>
    </row>
    <row r="8" spans="1:31" ht="20.25">
      <c r="A8" s="152"/>
      <c r="B8" s="174" t="s">
        <v>1315</v>
      </c>
      <c r="C8" s="484"/>
      <c r="D8" s="152"/>
      <c r="E8" s="152"/>
      <c r="F8" s="152"/>
      <c r="G8" s="152"/>
      <c r="H8" s="152"/>
      <c r="I8" s="152"/>
      <c r="J8" s="152"/>
      <c r="K8" s="152"/>
      <c r="L8" s="152"/>
      <c r="M8" s="152"/>
      <c r="N8" s="152"/>
      <c r="O8" s="152"/>
      <c r="P8" s="169">
        <f t="shared" si="0"/>
        <v>0</v>
      </c>
      <c r="Q8" s="169">
        <f t="shared" si="1"/>
        <v>0</v>
      </c>
      <c r="R8" s="169">
        <f t="shared" si="2"/>
        <v>0</v>
      </c>
      <c r="S8" s="166"/>
      <c r="T8" s="166"/>
      <c r="U8" s="166"/>
      <c r="V8" s="166"/>
      <c r="W8" s="166"/>
      <c r="X8" s="166"/>
      <c r="Y8" s="166"/>
      <c r="Z8" s="166"/>
      <c r="AA8" s="166"/>
      <c r="AB8" s="166"/>
      <c r="AC8" s="166"/>
      <c r="AD8" s="167"/>
      <c r="AE8" s="164"/>
    </row>
    <row r="9" spans="1:31" ht="20.25">
      <c r="A9" s="152"/>
      <c r="B9" s="174" t="s">
        <v>1316</v>
      </c>
      <c r="C9" s="485"/>
      <c r="D9" s="152"/>
      <c r="E9" s="152"/>
      <c r="F9" s="152"/>
      <c r="G9" s="152"/>
      <c r="H9" s="152"/>
      <c r="I9" s="152"/>
      <c r="J9" s="152"/>
      <c r="K9" s="152"/>
      <c r="L9" s="152"/>
      <c r="M9" s="152"/>
      <c r="N9" s="152"/>
      <c r="O9" s="152"/>
      <c r="P9" s="169">
        <f t="shared" si="0"/>
        <v>0</v>
      </c>
      <c r="Q9" s="169">
        <f t="shared" si="1"/>
        <v>0</v>
      </c>
      <c r="R9" s="169">
        <f t="shared" si="2"/>
        <v>0</v>
      </c>
      <c r="S9" s="166"/>
      <c r="T9" s="166"/>
      <c r="U9" s="166"/>
      <c r="V9" s="166"/>
      <c r="W9" s="166"/>
      <c r="X9" s="166"/>
      <c r="Y9" s="166"/>
      <c r="Z9" s="166"/>
      <c r="AA9" s="166"/>
      <c r="AB9" s="166"/>
      <c r="AC9" s="166"/>
      <c r="AD9" s="167"/>
      <c r="AE9" s="164"/>
    </row>
    <row r="10" spans="1:31" ht="15.75">
      <c r="A10" s="152"/>
      <c r="B10" s="175" t="s">
        <v>1317</v>
      </c>
      <c r="C10" s="256"/>
      <c r="D10" s="468" t="s">
        <v>1318</v>
      </c>
      <c r="E10" s="152"/>
      <c r="F10" s="152"/>
      <c r="G10" s="152"/>
      <c r="H10" s="152"/>
      <c r="I10" s="152"/>
      <c r="J10" s="152"/>
      <c r="K10" s="152"/>
      <c r="L10" s="152"/>
      <c r="M10" s="152"/>
      <c r="N10" s="152"/>
      <c r="O10" s="152"/>
      <c r="P10" s="169">
        <f t="shared" si="0"/>
        <v>0</v>
      </c>
      <c r="Q10" s="169">
        <f t="shared" si="1"/>
        <v>0</v>
      </c>
      <c r="R10" s="169">
        <f t="shared" si="2"/>
        <v>0</v>
      </c>
      <c r="S10" s="166"/>
      <c r="T10" s="166"/>
      <c r="U10" s="166"/>
      <c r="V10" s="166"/>
      <c r="W10" s="166"/>
      <c r="X10" s="166"/>
      <c r="Y10" s="166"/>
      <c r="Z10" s="166"/>
      <c r="AA10" s="166"/>
      <c r="AB10" s="166"/>
      <c r="AC10" s="166"/>
      <c r="AD10" s="167"/>
      <c r="AE10" s="164"/>
    </row>
    <row r="11" spans="1:31" ht="15.75">
      <c r="A11" s="164"/>
      <c r="B11" s="171" t="s">
        <v>1292</v>
      </c>
      <c r="C11" s="486"/>
      <c r="D11" s="483" t="s">
        <v>1071</v>
      </c>
      <c r="E11" s="164"/>
      <c r="F11" s="164"/>
      <c r="G11" s="164"/>
      <c r="H11" s="164"/>
      <c r="I11" s="164"/>
      <c r="J11" s="164"/>
      <c r="K11" s="164"/>
      <c r="L11" s="164"/>
      <c r="M11" s="164"/>
      <c r="N11" s="164"/>
      <c r="O11" s="164"/>
      <c r="P11" s="169">
        <f t="shared" si="0"/>
        <v>0</v>
      </c>
      <c r="Q11" s="169">
        <f t="shared" si="1"/>
        <v>0</v>
      </c>
      <c r="R11" s="169">
        <f t="shared" si="2"/>
        <v>0</v>
      </c>
      <c r="S11" s="166"/>
      <c r="T11" s="166"/>
      <c r="U11" s="166"/>
      <c r="V11" s="166"/>
      <c r="W11" s="166"/>
      <c r="X11" s="166"/>
      <c r="Y11" s="166"/>
      <c r="Z11" s="166"/>
      <c r="AA11" s="166"/>
      <c r="AB11" s="166"/>
      <c r="AC11" s="166"/>
      <c r="AD11" s="167"/>
      <c r="AE11" s="164"/>
    </row>
    <row r="12" spans="1:31" ht="15.75">
      <c r="A12" s="164"/>
      <c r="B12" s="164"/>
      <c r="C12" s="443"/>
      <c r="D12" s="483"/>
      <c r="E12" s="164"/>
      <c r="F12" s="164"/>
      <c r="G12" s="164"/>
      <c r="H12" s="164"/>
      <c r="I12" s="164"/>
      <c r="J12" s="164"/>
      <c r="K12" s="164"/>
      <c r="L12" s="164"/>
      <c r="M12" s="164"/>
      <c r="N12" s="164"/>
      <c r="O12" s="164"/>
      <c r="P12" s="169">
        <f t="shared" si="0"/>
        <v>0</v>
      </c>
      <c r="Q12" s="169">
        <f t="shared" si="1"/>
        <v>0</v>
      </c>
      <c r="R12" s="169">
        <f t="shared" si="2"/>
        <v>0</v>
      </c>
      <c r="S12" s="166"/>
      <c r="T12" s="166"/>
      <c r="U12" s="166"/>
      <c r="V12" s="166"/>
      <c r="W12" s="166"/>
      <c r="X12" s="166"/>
      <c r="Y12" s="166"/>
      <c r="Z12" s="166"/>
      <c r="AA12" s="166"/>
      <c r="AB12" s="166"/>
      <c r="AC12" s="166"/>
      <c r="AD12" s="167"/>
      <c r="AE12" s="164"/>
    </row>
    <row r="13" spans="1:31" ht="15.75">
      <c r="A13" s="152"/>
      <c r="B13" s="176" t="s">
        <v>34</v>
      </c>
      <c r="C13" s="487"/>
      <c r="D13" s="468" t="s">
        <v>1319</v>
      </c>
      <c r="E13" s="152"/>
      <c r="F13" s="152"/>
      <c r="G13" s="152"/>
      <c r="H13" s="152"/>
      <c r="I13" s="152"/>
      <c r="J13" s="152"/>
      <c r="K13" s="152"/>
      <c r="L13" s="152"/>
      <c r="M13" s="152"/>
      <c r="N13" s="152"/>
      <c r="O13" s="152"/>
      <c r="P13" s="169">
        <f t="shared" si="0"/>
        <v>0</v>
      </c>
      <c r="Q13" s="169">
        <f t="shared" si="1"/>
        <v>0</v>
      </c>
      <c r="R13" s="169">
        <f t="shared" si="2"/>
        <v>0</v>
      </c>
      <c r="S13" s="166"/>
      <c r="T13" s="166"/>
      <c r="U13" s="166"/>
      <c r="V13" s="166"/>
      <c r="W13" s="166"/>
      <c r="X13" s="166"/>
      <c r="Y13" s="166"/>
      <c r="Z13" s="166"/>
      <c r="AA13" s="166"/>
      <c r="AB13" s="166"/>
      <c r="AC13" s="166"/>
      <c r="AD13" s="167"/>
      <c r="AE13" s="164"/>
    </row>
    <row r="14" spans="1:31" ht="15.75">
      <c r="A14" s="152"/>
      <c r="B14" s="176" t="s">
        <v>1076</v>
      </c>
      <c r="C14" s="487"/>
      <c r="D14" s="468" t="s">
        <v>1319</v>
      </c>
      <c r="E14" s="152"/>
      <c r="F14" s="152"/>
      <c r="G14" s="152"/>
      <c r="H14" s="152"/>
      <c r="I14" s="152"/>
      <c r="J14" s="152"/>
      <c r="K14" s="152"/>
      <c r="L14" s="152"/>
      <c r="M14" s="152"/>
      <c r="N14" s="152"/>
      <c r="O14" s="152"/>
      <c r="P14" s="169"/>
      <c r="Q14" s="169"/>
      <c r="R14" s="169"/>
      <c r="S14" s="166"/>
      <c r="T14" s="166"/>
      <c r="U14" s="166"/>
      <c r="V14" s="166"/>
      <c r="W14" s="166"/>
      <c r="X14" s="166"/>
      <c r="Y14" s="166"/>
      <c r="Z14" s="166"/>
      <c r="AA14" s="166"/>
      <c r="AB14" s="166"/>
      <c r="AC14" s="166"/>
      <c r="AD14" s="167"/>
      <c r="AE14" s="164"/>
    </row>
    <row r="15" spans="1:31" ht="15.75">
      <c r="A15" s="152"/>
      <c r="B15" s="176" t="s">
        <v>43</v>
      </c>
      <c r="C15" s="488"/>
      <c r="D15" s="468" t="s">
        <v>76</v>
      </c>
      <c r="E15" s="152"/>
      <c r="F15" s="152"/>
      <c r="G15" s="152"/>
      <c r="H15" s="152"/>
      <c r="I15" s="152"/>
      <c r="J15" s="152"/>
      <c r="K15" s="152"/>
      <c r="L15" s="152"/>
      <c r="M15" s="152"/>
      <c r="N15" s="152"/>
      <c r="O15" s="152"/>
      <c r="P15" s="169">
        <f>IF(C54&lt;=0,0,$C$22/(5*C54-$C$22))</f>
        <v>0</v>
      </c>
      <c r="Q15" s="169">
        <f t="shared" si="1"/>
        <v>0</v>
      </c>
      <c r="R15" s="169">
        <f t="shared" si="2"/>
        <v>0</v>
      </c>
      <c r="S15" s="166"/>
      <c r="T15" s="166"/>
      <c r="U15" s="166"/>
      <c r="V15" s="166"/>
      <c r="W15" s="166"/>
      <c r="X15" s="166"/>
      <c r="Y15" s="166"/>
      <c r="Z15" s="166"/>
      <c r="AA15" s="166"/>
      <c r="AB15" s="166"/>
      <c r="AC15" s="166"/>
      <c r="AD15" s="167"/>
      <c r="AE15" s="164"/>
    </row>
    <row r="16" spans="1:31" ht="15.75">
      <c r="A16" s="152"/>
      <c r="B16" s="176" t="s">
        <v>1320</v>
      </c>
      <c r="C16" s="488"/>
      <c r="D16" s="468" t="s">
        <v>1321</v>
      </c>
      <c r="E16" s="152"/>
      <c r="F16" s="152"/>
      <c r="G16" s="152"/>
      <c r="H16" s="152"/>
      <c r="I16" s="152"/>
      <c r="J16" s="152"/>
      <c r="K16" s="152"/>
      <c r="L16" s="152"/>
      <c r="M16" s="152"/>
      <c r="N16" s="152"/>
      <c r="O16" s="152"/>
      <c r="P16" s="169">
        <f>IF(C55&lt;=0,0,$C$22/(5*C55-$C$22))</f>
        <v>0</v>
      </c>
      <c r="Q16" s="169">
        <f t="shared" si="1"/>
        <v>0</v>
      </c>
      <c r="R16" s="169">
        <f t="shared" si="2"/>
        <v>0</v>
      </c>
      <c r="S16" s="166"/>
      <c r="T16" s="166"/>
      <c r="U16" s="166"/>
      <c r="V16" s="166"/>
      <c r="W16" s="166"/>
      <c r="X16" s="166"/>
      <c r="Y16" s="166"/>
      <c r="Z16" s="166"/>
      <c r="AA16" s="166"/>
      <c r="AB16" s="166"/>
      <c r="AC16" s="166"/>
      <c r="AD16" s="167"/>
      <c r="AE16" s="164"/>
    </row>
    <row r="17" spans="1:31" ht="15.75">
      <c r="A17" s="152"/>
      <c r="B17" s="176" t="s">
        <v>1322</v>
      </c>
      <c r="C17" s="488"/>
      <c r="D17" s="468" t="s">
        <v>1319</v>
      </c>
      <c r="E17" s="152"/>
      <c r="F17" s="152"/>
      <c r="G17" s="152"/>
      <c r="H17" s="152"/>
      <c r="I17" s="152"/>
      <c r="J17" s="152"/>
      <c r="K17" s="152"/>
      <c r="L17" s="152"/>
      <c r="M17" s="152"/>
      <c r="N17" s="152"/>
      <c r="O17" s="152"/>
      <c r="P17" s="169">
        <f>IF(C56&lt;=0,0,$C$22/(5*C56-$C$22))</f>
        <v>0</v>
      </c>
      <c r="Q17" s="169">
        <f t="shared" si="1"/>
        <v>0</v>
      </c>
      <c r="R17" s="169">
        <f t="shared" si="2"/>
        <v>0</v>
      </c>
      <c r="S17" s="166"/>
      <c r="T17" s="166"/>
      <c r="U17" s="166"/>
      <c r="V17" s="166"/>
      <c r="W17" s="166"/>
      <c r="X17" s="166"/>
      <c r="Y17" s="166"/>
      <c r="Z17" s="166"/>
      <c r="AA17" s="166"/>
      <c r="AB17" s="166"/>
      <c r="AC17" s="166"/>
      <c r="AD17" s="167"/>
      <c r="AE17" s="164"/>
    </row>
    <row r="18" spans="1:31" ht="15.75">
      <c r="A18" s="152"/>
      <c r="B18" s="176"/>
      <c r="C18" s="489"/>
      <c r="D18" s="468"/>
      <c r="E18" s="152"/>
      <c r="F18" s="152"/>
      <c r="G18" s="152"/>
      <c r="H18" s="152"/>
      <c r="I18" s="152"/>
      <c r="J18" s="152"/>
      <c r="K18" s="152"/>
      <c r="L18" s="152"/>
      <c r="M18" s="152"/>
      <c r="N18" s="152"/>
      <c r="O18" s="152"/>
      <c r="P18" s="169">
        <f>IF(C57&lt;=0,0,$C$22/(5*C57-$C$22))</f>
        <v>0</v>
      </c>
      <c r="Q18" s="169">
        <f t="shared" si="1"/>
        <v>0</v>
      </c>
      <c r="R18" s="169">
        <f t="shared" si="2"/>
        <v>0</v>
      </c>
      <c r="S18" s="166"/>
      <c r="T18" s="166"/>
      <c r="U18" s="166"/>
      <c r="V18" s="166"/>
      <c r="W18" s="166"/>
      <c r="X18" s="166"/>
      <c r="Y18" s="166"/>
      <c r="Z18" s="166"/>
      <c r="AA18" s="166"/>
      <c r="AB18" s="166"/>
      <c r="AC18" s="166"/>
      <c r="AD18" s="167"/>
      <c r="AE18" s="164"/>
    </row>
    <row r="19" spans="1:31" ht="34.5" customHeight="1">
      <c r="A19" s="152"/>
      <c r="B19" s="178" t="s">
        <v>1323</v>
      </c>
      <c r="C19" s="488"/>
      <c r="D19" s="468" t="s">
        <v>1324</v>
      </c>
      <c r="E19" s="152"/>
      <c r="F19" s="152"/>
      <c r="G19" s="152"/>
      <c r="H19" s="152"/>
      <c r="I19" s="152"/>
      <c r="J19" s="152"/>
      <c r="K19" s="152"/>
      <c r="L19" s="152"/>
      <c r="M19" s="152"/>
      <c r="N19" s="152"/>
      <c r="O19" s="152"/>
      <c r="P19" s="169">
        <f>IF(C58&lt;=0,0,$C$22/(5*C58-$C$22))</f>
        <v>0</v>
      </c>
      <c r="Q19" s="169">
        <f t="shared" si="1"/>
        <v>0</v>
      </c>
      <c r="R19" s="169">
        <f t="shared" si="2"/>
        <v>0</v>
      </c>
      <c r="S19" s="166"/>
      <c r="T19" s="166"/>
      <c r="U19" s="166"/>
      <c r="V19" s="166"/>
      <c r="W19" s="166"/>
      <c r="X19" s="166"/>
      <c r="Y19" s="166"/>
      <c r="Z19" s="166"/>
      <c r="AA19" s="166"/>
      <c r="AB19" s="166"/>
      <c r="AC19" s="166"/>
      <c r="AD19" s="167"/>
      <c r="AE19" s="164"/>
    </row>
    <row r="20" spans="1:31" ht="39.75" customHeight="1">
      <c r="A20" s="152"/>
      <c r="B20" s="179" t="s">
        <v>1325</v>
      </c>
      <c r="C20" s="488"/>
      <c r="D20" s="468" t="s">
        <v>1324</v>
      </c>
      <c r="E20" s="152"/>
      <c r="F20" s="152"/>
      <c r="G20" s="152"/>
      <c r="H20" s="152"/>
      <c r="I20" s="152"/>
      <c r="J20" s="152"/>
      <c r="K20" s="152"/>
      <c r="L20" s="152"/>
      <c r="M20" s="152"/>
      <c r="N20" s="152"/>
      <c r="O20" s="152"/>
      <c r="P20" s="153"/>
      <c r="Q20" s="166"/>
      <c r="R20" s="166"/>
      <c r="S20" s="166"/>
      <c r="T20" s="166"/>
      <c r="U20" s="166"/>
      <c r="V20" s="166"/>
      <c r="W20" s="166"/>
      <c r="X20" s="166"/>
      <c r="Y20" s="166"/>
      <c r="Z20" s="166"/>
      <c r="AA20" s="166"/>
      <c r="AB20" s="166"/>
      <c r="AC20" s="166"/>
      <c r="AD20" s="167"/>
      <c r="AE20" s="164"/>
    </row>
    <row r="21" spans="1:31" ht="15.75">
      <c r="A21" s="152"/>
      <c r="B21" s="176"/>
      <c r="C21" s="490"/>
      <c r="D21" s="468"/>
      <c r="E21" s="152"/>
      <c r="F21" s="152"/>
      <c r="G21" s="152"/>
      <c r="H21" s="152"/>
      <c r="I21" s="152"/>
      <c r="J21" s="152"/>
      <c r="K21" s="152"/>
      <c r="L21" s="152"/>
      <c r="M21" s="152"/>
      <c r="N21" s="152"/>
      <c r="O21" s="152"/>
      <c r="P21" s="164"/>
      <c r="Q21" s="153"/>
      <c r="R21" s="153"/>
      <c r="S21" s="153"/>
      <c r="T21" s="153"/>
      <c r="U21" s="153"/>
      <c r="V21" s="153"/>
      <c r="W21" s="153"/>
      <c r="X21" s="153"/>
      <c r="Y21" s="153"/>
      <c r="Z21" s="153"/>
      <c r="AA21" s="153"/>
      <c r="AB21" s="153"/>
      <c r="AC21" s="153"/>
      <c r="AD21" s="164"/>
      <c r="AE21" s="164"/>
    </row>
    <row r="22" spans="1:31" ht="15.75">
      <c r="A22" s="152"/>
      <c r="B22" s="176" t="s">
        <v>1326</v>
      </c>
      <c r="C22" s="491"/>
      <c r="D22" s="468" t="s">
        <v>1327</v>
      </c>
      <c r="E22" s="152"/>
      <c r="F22" s="152"/>
      <c r="G22" s="152"/>
      <c r="H22" s="152"/>
      <c r="I22" s="152"/>
      <c r="J22" s="152"/>
      <c r="K22" s="152"/>
      <c r="L22" s="152"/>
      <c r="M22" s="152"/>
      <c r="N22" s="152"/>
      <c r="O22" s="152"/>
      <c r="P22" s="171" t="s">
        <v>1328</v>
      </c>
      <c r="Q22" s="153"/>
      <c r="R22" s="153"/>
      <c r="S22" s="153"/>
      <c r="T22" s="153"/>
      <c r="U22" s="153"/>
      <c r="V22" s="153"/>
      <c r="W22" s="153"/>
      <c r="X22" s="153"/>
      <c r="Y22" s="153"/>
      <c r="Z22" s="153"/>
      <c r="AA22" s="153"/>
      <c r="AB22" s="153"/>
      <c r="AC22" s="153"/>
      <c r="AD22" s="164"/>
      <c r="AE22" s="164"/>
    </row>
    <row r="23" spans="1:31" ht="20.25">
      <c r="A23" s="152"/>
      <c r="B23" s="176"/>
      <c r="C23" s="180"/>
      <c r="D23" s="152"/>
      <c r="E23" s="152"/>
      <c r="F23" s="152"/>
      <c r="G23" s="152"/>
      <c r="H23" s="152"/>
      <c r="I23" s="152"/>
      <c r="J23" s="152"/>
      <c r="K23" s="152"/>
      <c r="L23" s="152"/>
      <c r="M23" s="152"/>
      <c r="N23" s="152"/>
      <c r="O23" s="152"/>
      <c r="P23" s="164"/>
      <c r="Q23" s="153"/>
      <c r="R23" s="153"/>
      <c r="S23" s="153"/>
      <c r="T23" s="153"/>
      <c r="U23" s="181" t="s">
        <v>1329</v>
      </c>
      <c r="V23" s="153"/>
      <c r="W23" s="153"/>
      <c r="X23" s="153"/>
      <c r="Y23" s="153"/>
      <c r="Z23" s="153"/>
      <c r="AA23" s="153"/>
      <c r="AB23" s="153"/>
      <c r="AC23" s="153"/>
      <c r="AD23" s="164"/>
      <c r="AE23" s="182"/>
    </row>
    <row r="24" spans="1:31" ht="15.75">
      <c r="A24" s="152"/>
      <c r="B24" s="176"/>
      <c r="C24" s="180"/>
      <c r="D24" s="152"/>
      <c r="E24" s="152"/>
      <c r="F24" s="152"/>
      <c r="G24" s="152"/>
      <c r="H24" s="152"/>
      <c r="I24" s="152"/>
      <c r="J24" s="152"/>
      <c r="K24" s="152"/>
      <c r="L24" s="152"/>
      <c r="M24" s="152"/>
      <c r="N24" s="152"/>
      <c r="O24" s="152"/>
      <c r="P24" s="183"/>
      <c r="Q24" s="183"/>
      <c r="R24" s="184">
        <f aca="true" t="shared" si="3" ref="R24:AC24">D40</f>
        <v>0</v>
      </c>
      <c r="S24" s="184">
        <f t="shared" si="3"/>
        <v>0</v>
      </c>
      <c r="T24" s="184">
        <f t="shared" si="3"/>
        <v>0</v>
      </c>
      <c r="U24" s="184">
        <f t="shared" si="3"/>
        <v>0</v>
      </c>
      <c r="V24" s="184">
        <f t="shared" si="3"/>
        <v>0</v>
      </c>
      <c r="W24" s="184">
        <f t="shared" si="3"/>
        <v>0</v>
      </c>
      <c r="X24" s="184">
        <f t="shared" si="3"/>
        <v>0</v>
      </c>
      <c r="Y24" s="184">
        <f t="shared" si="3"/>
        <v>0</v>
      </c>
      <c r="Z24" s="184">
        <f t="shared" si="3"/>
        <v>0</v>
      </c>
      <c r="AA24" s="184">
        <f t="shared" si="3"/>
        <v>0</v>
      </c>
      <c r="AB24" s="184">
        <f t="shared" si="3"/>
        <v>0</v>
      </c>
      <c r="AC24" s="184">
        <f t="shared" si="3"/>
        <v>0</v>
      </c>
      <c r="AD24" s="185" t="s">
        <v>1330</v>
      </c>
      <c r="AE24" s="182"/>
    </row>
    <row r="25" spans="1:31" ht="15.75">
      <c r="A25" s="152"/>
      <c r="B25" s="176"/>
      <c r="C25" s="180"/>
      <c r="D25" s="152"/>
      <c r="E25" s="152"/>
      <c r="F25" s="152"/>
      <c r="G25" s="152"/>
      <c r="H25" s="152"/>
      <c r="I25" s="152"/>
      <c r="J25" s="152"/>
      <c r="K25" s="152"/>
      <c r="L25" s="152"/>
      <c r="M25" s="152"/>
      <c r="N25" s="152"/>
      <c r="O25" s="152"/>
      <c r="P25" s="153"/>
      <c r="Q25" s="186" t="s">
        <v>1331</v>
      </c>
      <c r="R25" s="153"/>
      <c r="S25" s="153"/>
      <c r="T25" s="153"/>
      <c r="U25" s="153"/>
      <c r="V25" s="153"/>
      <c r="W25" s="153"/>
      <c r="X25" s="153"/>
      <c r="Y25" s="153"/>
      <c r="Z25" s="153"/>
      <c r="AA25" s="153"/>
      <c r="AB25" s="153"/>
      <c r="AC25" s="153"/>
      <c r="AD25" s="185"/>
      <c r="AE25" s="164"/>
    </row>
    <row r="26" spans="1:31" ht="15.75">
      <c r="A26" s="176" t="s">
        <v>830</v>
      </c>
      <c r="B26" s="176"/>
      <c r="C26" s="180"/>
      <c r="D26" s="152"/>
      <c r="E26" s="152"/>
      <c r="F26" s="152"/>
      <c r="G26" s="152"/>
      <c r="H26" s="152"/>
      <c r="I26" s="152"/>
      <c r="J26" s="152"/>
      <c r="K26" s="152"/>
      <c r="L26" s="152"/>
      <c r="M26" s="152"/>
      <c r="N26" s="152"/>
      <c r="O26" s="152"/>
      <c r="P26" s="153">
        <v>1</v>
      </c>
      <c r="Q26" s="187" t="str">
        <f aca="true" t="shared" si="4" ref="Q26:Q42">B42</f>
        <v>Paddy Rice #1</v>
      </c>
      <c r="R26" s="188">
        <f aca="true" t="shared" si="5" ref="R26:AC41">D42*C$64</f>
        <v>0</v>
      </c>
      <c r="S26" s="188">
        <f t="shared" si="5"/>
        <v>0</v>
      </c>
      <c r="T26" s="188">
        <f t="shared" si="5"/>
        <v>0</v>
      </c>
      <c r="U26" s="188">
        <f t="shared" si="5"/>
        <v>0</v>
      </c>
      <c r="V26" s="188">
        <f t="shared" si="5"/>
        <v>0</v>
      </c>
      <c r="W26" s="188">
        <f t="shared" si="5"/>
        <v>0</v>
      </c>
      <c r="X26" s="188">
        <f t="shared" si="5"/>
        <v>0</v>
      </c>
      <c r="Y26" s="188">
        <f t="shared" si="5"/>
        <v>0</v>
      </c>
      <c r="Z26" s="188">
        <f t="shared" si="5"/>
        <v>0</v>
      </c>
      <c r="AA26" s="188">
        <f t="shared" si="5"/>
        <v>0</v>
      </c>
      <c r="AB26" s="188">
        <f t="shared" si="5"/>
        <v>0</v>
      </c>
      <c r="AC26" s="188">
        <f t="shared" si="5"/>
        <v>0</v>
      </c>
      <c r="AD26" s="189">
        <f aca="true" t="shared" si="6" ref="AD26:AD42">SUM(R26:AC26)</f>
        <v>0</v>
      </c>
      <c r="AE26" s="164"/>
    </row>
    <row r="27" spans="1:31" ht="18.75">
      <c r="A27" s="152"/>
      <c r="B27" s="494" t="s">
        <v>1332</v>
      </c>
      <c r="C27" s="180"/>
      <c r="D27" s="152"/>
      <c r="E27" s="152"/>
      <c r="F27" s="152"/>
      <c r="G27" s="152"/>
      <c r="H27" s="152"/>
      <c r="I27" s="152"/>
      <c r="J27" s="152"/>
      <c r="K27" s="152"/>
      <c r="L27" s="152"/>
      <c r="M27" s="152"/>
      <c r="N27" s="152"/>
      <c r="O27" s="152"/>
      <c r="P27" s="153">
        <f>P26+1</f>
        <v>2</v>
      </c>
      <c r="Q27" s="187" t="str">
        <f t="shared" si="4"/>
        <v>Paddy Rice #2</v>
      </c>
      <c r="R27" s="188">
        <f t="shared" si="5"/>
        <v>0</v>
      </c>
      <c r="S27" s="188">
        <f t="shared" si="5"/>
        <v>0</v>
      </c>
      <c r="T27" s="188">
        <f t="shared" si="5"/>
        <v>0</v>
      </c>
      <c r="U27" s="188">
        <f t="shared" si="5"/>
        <v>0</v>
      </c>
      <c r="V27" s="188">
        <f t="shared" si="5"/>
        <v>0</v>
      </c>
      <c r="W27" s="188">
        <f t="shared" si="5"/>
        <v>0</v>
      </c>
      <c r="X27" s="188">
        <f t="shared" si="5"/>
        <v>0</v>
      </c>
      <c r="Y27" s="188">
        <f t="shared" si="5"/>
        <v>0</v>
      </c>
      <c r="Z27" s="188">
        <f t="shared" si="5"/>
        <v>0</v>
      </c>
      <c r="AA27" s="188">
        <f t="shared" si="5"/>
        <v>0</v>
      </c>
      <c r="AB27" s="188">
        <f t="shared" si="5"/>
        <v>0</v>
      </c>
      <c r="AC27" s="188">
        <f t="shared" si="5"/>
        <v>0</v>
      </c>
      <c r="AD27" s="189">
        <f t="shared" si="6"/>
        <v>0</v>
      </c>
      <c r="AE27" s="164"/>
    </row>
    <row r="28" spans="1:31" ht="18.75">
      <c r="A28" s="152"/>
      <c r="B28" s="495" t="s">
        <v>1333</v>
      </c>
      <c r="C28" s="180"/>
      <c r="D28" s="152"/>
      <c r="E28" s="152"/>
      <c r="F28" s="152"/>
      <c r="G28" s="152"/>
      <c r="H28" s="152"/>
      <c r="I28" s="152"/>
      <c r="J28" s="152"/>
      <c r="K28" s="152"/>
      <c r="L28" s="152"/>
      <c r="M28" s="152"/>
      <c r="N28" s="152"/>
      <c r="O28" s="152"/>
      <c r="P28" s="153">
        <f aca="true" t="shared" si="7" ref="P28:P42">P27+1</f>
        <v>3</v>
      </c>
      <c r="Q28" s="187" t="str">
        <f t="shared" si="4"/>
        <v>Paddy Rice #3</v>
      </c>
      <c r="R28" s="188">
        <f t="shared" si="5"/>
        <v>0</v>
      </c>
      <c r="S28" s="188">
        <f t="shared" si="5"/>
        <v>0</v>
      </c>
      <c r="T28" s="188">
        <f t="shared" si="5"/>
        <v>0</v>
      </c>
      <c r="U28" s="188">
        <f t="shared" si="5"/>
        <v>0</v>
      </c>
      <c r="V28" s="188">
        <f t="shared" si="5"/>
        <v>0</v>
      </c>
      <c r="W28" s="188">
        <f t="shared" si="5"/>
        <v>0</v>
      </c>
      <c r="X28" s="188">
        <f t="shared" si="5"/>
        <v>0</v>
      </c>
      <c r="Y28" s="188">
        <f t="shared" si="5"/>
        <v>0</v>
      </c>
      <c r="Z28" s="188">
        <f t="shared" si="5"/>
        <v>0</v>
      </c>
      <c r="AA28" s="188">
        <f t="shared" si="5"/>
        <v>0</v>
      </c>
      <c r="AB28" s="188">
        <f t="shared" si="5"/>
        <v>0</v>
      </c>
      <c r="AC28" s="188">
        <f t="shared" si="5"/>
        <v>0</v>
      </c>
      <c r="AD28" s="189">
        <f t="shared" si="6"/>
        <v>0</v>
      </c>
      <c r="AE28" s="164"/>
    </row>
    <row r="29" spans="1:31" ht="18.75">
      <c r="A29" s="152"/>
      <c r="B29" s="495" t="s">
        <v>1334</v>
      </c>
      <c r="C29" s="180"/>
      <c r="D29" s="152"/>
      <c r="E29" s="152"/>
      <c r="F29" s="152"/>
      <c r="G29" s="152"/>
      <c r="H29" s="152"/>
      <c r="I29" s="152"/>
      <c r="J29" s="152"/>
      <c r="K29" s="152"/>
      <c r="L29" s="152"/>
      <c r="M29" s="152"/>
      <c r="N29" s="152"/>
      <c r="O29" s="152"/>
      <c r="P29" s="153">
        <f t="shared" si="7"/>
        <v>4</v>
      </c>
      <c r="Q29" s="187">
        <f t="shared" si="4"/>
        <v>0</v>
      </c>
      <c r="R29" s="188">
        <f t="shared" si="5"/>
        <v>0</v>
      </c>
      <c r="S29" s="188">
        <f t="shared" si="5"/>
        <v>0</v>
      </c>
      <c r="T29" s="188">
        <f t="shared" si="5"/>
        <v>0</v>
      </c>
      <c r="U29" s="188">
        <f t="shared" si="5"/>
        <v>0</v>
      </c>
      <c r="V29" s="188">
        <f t="shared" si="5"/>
        <v>0</v>
      </c>
      <c r="W29" s="188">
        <f t="shared" si="5"/>
        <v>0</v>
      </c>
      <c r="X29" s="188">
        <f t="shared" si="5"/>
        <v>0</v>
      </c>
      <c r="Y29" s="188">
        <f t="shared" si="5"/>
        <v>0</v>
      </c>
      <c r="Z29" s="188">
        <f t="shared" si="5"/>
        <v>0</v>
      </c>
      <c r="AA29" s="188">
        <f t="shared" si="5"/>
        <v>0</v>
      </c>
      <c r="AB29" s="188">
        <f t="shared" si="5"/>
        <v>0</v>
      </c>
      <c r="AC29" s="188">
        <f t="shared" si="5"/>
        <v>0</v>
      </c>
      <c r="AD29" s="189">
        <f t="shared" si="6"/>
        <v>0</v>
      </c>
      <c r="AE29" s="164"/>
    </row>
    <row r="30" spans="1:31" ht="18.75">
      <c r="A30" s="152"/>
      <c r="B30" s="495" t="s">
        <v>869</v>
      </c>
      <c r="C30" s="180"/>
      <c r="D30" s="152"/>
      <c r="E30" s="152"/>
      <c r="F30" s="152"/>
      <c r="G30" s="152"/>
      <c r="H30" s="152"/>
      <c r="I30" s="152"/>
      <c r="J30" s="152"/>
      <c r="K30" s="152"/>
      <c r="L30" s="152"/>
      <c r="M30" s="152"/>
      <c r="N30" s="152"/>
      <c r="O30" s="152"/>
      <c r="P30" s="153">
        <f t="shared" si="7"/>
        <v>5</v>
      </c>
      <c r="Q30" s="187">
        <f t="shared" si="4"/>
        <v>0</v>
      </c>
      <c r="R30" s="188">
        <f t="shared" si="5"/>
        <v>0</v>
      </c>
      <c r="S30" s="188">
        <f t="shared" si="5"/>
        <v>0</v>
      </c>
      <c r="T30" s="188">
        <f t="shared" si="5"/>
        <v>0</v>
      </c>
      <c r="U30" s="188">
        <f t="shared" si="5"/>
        <v>0</v>
      </c>
      <c r="V30" s="188">
        <f t="shared" si="5"/>
        <v>0</v>
      </c>
      <c r="W30" s="188">
        <f t="shared" si="5"/>
        <v>0</v>
      </c>
      <c r="X30" s="188">
        <f t="shared" si="5"/>
        <v>0</v>
      </c>
      <c r="Y30" s="188">
        <f t="shared" si="5"/>
        <v>0</v>
      </c>
      <c r="Z30" s="188">
        <f t="shared" si="5"/>
        <v>0</v>
      </c>
      <c r="AA30" s="188">
        <f t="shared" si="5"/>
        <v>0</v>
      </c>
      <c r="AB30" s="188">
        <f t="shared" si="5"/>
        <v>0</v>
      </c>
      <c r="AC30" s="188">
        <f t="shared" si="5"/>
        <v>0</v>
      </c>
      <c r="AD30" s="189">
        <f t="shared" si="6"/>
        <v>0</v>
      </c>
      <c r="AE30" s="164"/>
    </row>
    <row r="31" spans="1:31" ht="18.75">
      <c r="A31" s="152"/>
      <c r="B31" s="495" t="s">
        <v>870</v>
      </c>
      <c r="C31" s="180"/>
      <c r="D31" s="152"/>
      <c r="E31" s="152"/>
      <c r="F31" s="152"/>
      <c r="G31" s="152"/>
      <c r="H31" s="152"/>
      <c r="I31" s="152"/>
      <c r="J31" s="152"/>
      <c r="K31" s="152"/>
      <c r="L31" s="152"/>
      <c r="M31" s="152"/>
      <c r="N31" s="152"/>
      <c r="O31" s="152"/>
      <c r="P31" s="153">
        <f t="shared" si="7"/>
        <v>6</v>
      </c>
      <c r="Q31" s="187">
        <f t="shared" si="4"/>
        <v>0</v>
      </c>
      <c r="R31" s="188">
        <f t="shared" si="5"/>
        <v>0</v>
      </c>
      <c r="S31" s="188">
        <f t="shared" si="5"/>
        <v>0</v>
      </c>
      <c r="T31" s="188">
        <f t="shared" si="5"/>
        <v>0</v>
      </c>
      <c r="U31" s="188">
        <f t="shared" si="5"/>
        <v>0</v>
      </c>
      <c r="V31" s="188">
        <f t="shared" si="5"/>
        <v>0</v>
      </c>
      <c r="W31" s="188">
        <f t="shared" si="5"/>
        <v>0</v>
      </c>
      <c r="X31" s="188">
        <f t="shared" si="5"/>
        <v>0</v>
      </c>
      <c r="Y31" s="188">
        <f t="shared" si="5"/>
        <v>0</v>
      </c>
      <c r="Z31" s="188">
        <f t="shared" si="5"/>
        <v>0</v>
      </c>
      <c r="AA31" s="188">
        <f t="shared" si="5"/>
        <v>0</v>
      </c>
      <c r="AB31" s="188">
        <f t="shared" si="5"/>
        <v>0</v>
      </c>
      <c r="AC31" s="188">
        <f t="shared" si="5"/>
        <v>0</v>
      </c>
      <c r="AD31" s="189">
        <f t="shared" si="6"/>
        <v>0</v>
      </c>
      <c r="AE31" s="164"/>
    </row>
    <row r="32" spans="1:31" ht="18.75">
      <c r="A32" s="152"/>
      <c r="B32" s="495" t="s">
        <v>349</v>
      </c>
      <c r="C32" s="152"/>
      <c r="D32" s="152"/>
      <c r="E32" s="152"/>
      <c r="F32" s="152"/>
      <c r="G32" s="152"/>
      <c r="H32" s="152"/>
      <c r="I32" s="152"/>
      <c r="J32" s="152"/>
      <c r="K32" s="152"/>
      <c r="L32" s="152"/>
      <c r="M32" s="152"/>
      <c r="N32" s="152"/>
      <c r="O32" s="152"/>
      <c r="P32" s="153">
        <f t="shared" si="7"/>
        <v>7</v>
      </c>
      <c r="Q32" s="187">
        <f t="shared" si="4"/>
        <v>0</v>
      </c>
      <c r="R32" s="188">
        <f t="shared" si="5"/>
        <v>0</v>
      </c>
      <c r="S32" s="188">
        <f t="shared" si="5"/>
        <v>0</v>
      </c>
      <c r="T32" s="188">
        <f t="shared" si="5"/>
        <v>0</v>
      </c>
      <c r="U32" s="188">
        <f t="shared" si="5"/>
        <v>0</v>
      </c>
      <c r="V32" s="188">
        <f t="shared" si="5"/>
        <v>0</v>
      </c>
      <c r="W32" s="188">
        <f t="shared" si="5"/>
        <v>0</v>
      </c>
      <c r="X32" s="188">
        <f t="shared" si="5"/>
        <v>0</v>
      </c>
      <c r="Y32" s="188">
        <f t="shared" si="5"/>
        <v>0</v>
      </c>
      <c r="Z32" s="188">
        <f t="shared" si="5"/>
        <v>0</v>
      </c>
      <c r="AA32" s="188">
        <f t="shared" si="5"/>
        <v>0</v>
      </c>
      <c r="AB32" s="188">
        <f t="shared" si="5"/>
        <v>0</v>
      </c>
      <c r="AC32" s="188">
        <f t="shared" si="5"/>
        <v>0</v>
      </c>
      <c r="AD32" s="189">
        <f t="shared" si="6"/>
        <v>0</v>
      </c>
      <c r="AE32" s="164"/>
    </row>
    <row r="33" spans="1:31" ht="18.75">
      <c r="A33" s="152"/>
      <c r="B33" s="495" t="s">
        <v>350</v>
      </c>
      <c r="C33" s="152"/>
      <c r="D33" s="152"/>
      <c r="E33" s="152"/>
      <c r="F33" s="152"/>
      <c r="G33" s="152"/>
      <c r="H33" s="152"/>
      <c r="I33" s="152"/>
      <c r="J33" s="152"/>
      <c r="K33" s="152"/>
      <c r="L33" s="152"/>
      <c r="M33" s="152"/>
      <c r="N33" s="152"/>
      <c r="O33" s="152"/>
      <c r="P33" s="153">
        <f t="shared" si="7"/>
        <v>8</v>
      </c>
      <c r="Q33" s="187">
        <f t="shared" si="4"/>
        <v>0</v>
      </c>
      <c r="R33" s="188">
        <f t="shared" si="5"/>
        <v>0</v>
      </c>
      <c r="S33" s="188">
        <f t="shared" si="5"/>
        <v>0</v>
      </c>
      <c r="T33" s="188">
        <f t="shared" si="5"/>
        <v>0</v>
      </c>
      <c r="U33" s="188">
        <f t="shared" si="5"/>
        <v>0</v>
      </c>
      <c r="V33" s="188">
        <f t="shared" si="5"/>
        <v>0</v>
      </c>
      <c r="W33" s="188">
        <f t="shared" si="5"/>
        <v>0</v>
      </c>
      <c r="X33" s="188">
        <f t="shared" si="5"/>
        <v>0</v>
      </c>
      <c r="Y33" s="188">
        <f t="shared" si="5"/>
        <v>0</v>
      </c>
      <c r="Z33" s="188">
        <f t="shared" si="5"/>
        <v>0</v>
      </c>
      <c r="AA33" s="188">
        <f t="shared" si="5"/>
        <v>0</v>
      </c>
      <c r="AB33" s="188">
        <f t="shared" si="5"/>
        <v>0</v>
      </c>
      <c r="AC33" s="188">
        <f t="shared" si="5"/>
        <v>0</v>
      </c>
      <c r="AD33" s="189">
        <f t="shared" si="6"/>
        <v>0</v>
      </c>
      <c r="AE33" s="164"/>
    </row>
    <row r="34" spans="1:31" ht="18.75">
      <c r="A34" s="152"/>
      <c r="B34" s="495" t="s">
        <v>351</v>
      </c>
      <c r="C34" s="152"/>
      <c r="D34" s="152"/>
      <c r="E34" s="152"/>
      <c r="F34" s="152"/>
      <c r="G34" s="152"/>
      <c r="H34" s="152"/>
      <c r="I34" s="152"/>
      <c r="J34" s="152"/>
      <c r="K34" s="152"/>
      <c r="L34" s="152"/>
      <c r="M34" s="152"/>
      <c r="N34" s="152"/>
      <c r="O34" s="152"/>
      <c r="P34" s="153">
        <f t="shared" si="7"/>
        <v>9</v>
      </c>
      <c r="Q34" s="187">
        <f t="shared" si="4"/>
        <v>0</v>
      </c>
      <c r="R34" s="188">
        <f t="shared" si="5"/>
        <v>0</v>
      </c>
      <c r="S34" s="188">
        <f t="shared" si="5"/>
        <v>0</v>
      </c>
      <c r="T34" s="188">
        <f t="shared" si="5"/>
        <v>0</v>
      </c>
      <c r="U34" s="188">
        <f t="shared" si="5"/>
        <v>0</v>
      </c>
      <c r="V34" s="188">
        <f t="shared" si="5"/>
        <v>0</v>
      </c>
      <c r="W34" s="188">
        <f t="shared" si="5"/>
        <v>0</v>
      </c>
      <c r="X34" s="188">
        <f t="shared" si="5"/>
        <v>0</v>
      </c>
      <c r="Y34" s="188">
        <f t="shared" si="5"/>
        <v>0</v>
      </c>
      <c r="Z34" s="188">
        <f t="shared" si="5"/>
        <v>0</v>
      </c>
      <c r="AA34" s="188">
        <f t="shared" si="5"/>
        <v>0</v>
      </c>
      <c r="AB34" s="188">
        <f t="shared" si="5"/>
        <v>0</v>
      </c>
      <c r="AC34" s="188">
        <f t="shared" si="5"/>
        <v>0</v>
      </c>
      <c r="AD34" s="189">
        <f t="shared" si="6"/>
        <v>0</v>
      </c>
      <c r="AE34" s="164"/>
    </row>
    <row r="35" spans="1:31" ht="18.75">
      <c r="A35" s="152"/>
      <c r="B35" s="495" t="s">
        <v>352</v>
      </c>
      <c r="C35" s="152"/>
      <c r="D35" s="152"/>
      <c r="E35" s="152"/>
      <c r="F35" s="152"/>
      <c r="G35" s="152"/>
      <c r="H35" s="152"/>
      <c r="I35" s="152"/>
      <c r="J35" s="152"/>
      <c r="K35" s="152"/>
      <c r="L35" s="152"/>
      <c r="M35" s="152"/>
      <c r="N35" s="152"/>
      <c r="O35" s="152"/>
      <c r="P35" s="153">
        <f t="shared" si="7"/>
        <v>10</v>
      </c>
      <c r="Q35" s="187">
        <f t="shared" si="4"/>
        <v>0</v>
      </c>
      <c r="R35" s="188">
        <f t="shared" si="5"/>
        <v>0</v>
      </c>
      <c r="S35" s="188">
        <f t="shared" si="5"/>
        <v>0</v>
      </c>
      <c r="T35" s="188">
        <f t="shared" si="5"/>
        <v>0</v>
      </c>
      <c r="U35" s="188">
        <f t="shared" si="5"/>
        <v>0</v>
      </c>
      <c r="V35" s="188">
        <f t="shared" si="5"/>
        <v>0</v>
      </c>
      <c r="W35" s="188">
        <f t="shared" si="5"/>
        <v>0</v>
      </c>
      <c r="X35" s="188">
        <f t="shared" si="5"/>
        <v>0</v>
      </c>
      <c r="Y35" s="188">
        <f t="shared" si="5"/>
        <v>0</v>
      </c>
      <c r="Z35" s="188">
        <f t="shared" si="5"/>
        <v>0</v>
      </c>
      <c r="AA35" s="188">
        <f t="shared" si="5"/>
        <v>0</v>
      </c>
      <c r="AB35" s="188">
        <f t="shared" si="5"/>
        <v>0</v>
      </c>
      <c r="AC35" s="188">
        <f t="shared" si="5"/>
        <v>0</v>
      </c>
      <c r="AD35" s="189">
        <f t="shared" si="6"/>
        <v>0</v>
      </c>
      <c r="AE35" s="164"/>
    </row>
    <row r="36" spans="1:31" ht="15.75">
      <c r="A36" s="152"/>
      <c r="B36" s="176"/>
      <c r="C36" s="152"/>
      <c r="D36" s="152"/>
      <c r="E36" s="152"/>
      <c r="F36" s="152"/>
      <c r="G36" s="152"/>
      <c r="H36" s="152"/>
      <c r="I36" s="152"/>
      <c r="J36" s="152"/>
      <c r="K36" s="152"/>
      <c r="L36" s="152"/>
      <c r="M36" s="152"/>
      <c r="N36" s="152"/>
      <c r="O36" s="152"/>
      <c r="P36" s="153">
        <f t="shared" si="7"/>
        <v>11</v>
      </c>
      <c r="Q36" s="187">
        <f t="shared" si="4"/>
        <v>0</v>
      </c>
      <c r="R36" s="188">
        <f t="shared" si="5"/>
        <v>0</v>
      </c>
      <c r="S36" s="188">
        <f t="shared" si="5"/>
        <v>0</v>
      </c>
      <c r="T36" s="188">
        <f t="shared" si="5"/>
        <v>0</v>
      </c>
      <c r="U36" s="188">
        <f t="shared" si="5"/>
        <v>0</v>
      </c>
      <c r="V36" s="188">
        <f t="shared" si="5"/>
        <v>0</v>
      </c>
      <c r="W36" s="188">
        <f t="shared" si="5"/>
        <v>0</v>
      </c>
      <c r="X36" s="188">
        <f t="shared" si="5"/>
        <v>0</v>
      </c>
      <c r="Y36" s="188">
        <f t="shared" si="5"/>
        <v>0</v>
      </c>
      <c r="Z36" s="188">
        <f t="shared" si="5"/>
        <v>0</v>
      </c>
      <c r="AA36" s="188">
        <f t="shared" si="5"/>
        <v>0</v>
      </c>
      <c r="AB36" s="188">
        <f t="shared" si="5"/>
        <v>0</v>
      </c>
      <c r="AC36" s="188">
        <f t="shared" si="5"/>
        <v>0</v>
      </c>
      <c r="AD36" s="189">
        <f t="shared" si="6"/>
        <v>0</v>
      </c>
      <c r="AE36" s="164"/>
    </row>
    <row r="37" spans="1:31" ht="27">
      <c r="A37" s="190" t="s">
        <v>1079</v>
      </c>
      <c r="B37" s="176"/>
      <c r="C37" s="152"/>
      <c r="D37" s="152"/>
      <c r="E37" s="152"/>
      <c r="F37" s="152"/>
      <c r="G37" s="152"/>
      <c r="H37" s="152"/>
      <c r="I37" s="152"/>
      <c r="J37" s="152"/>
      <c r="K37" s="152"/>
      <c r="L37" s="152"/>
      <c r="M37" s="152"/>
      <c r="N37" s="152"/>
      <c r="O37" s="152"/>
      <c r="P37" s="153">
        <f t="shared" si="7"/>
        <v>12</v>
      </c>
      <c r="Q37" s="187">
        <f t="shared" si="4"/>
        <v>0</v>
      </c>
      <c r="R37" s="188">
        <f t="shared" si="5"/>
        <v>0</v>
      </c>
      <c r="S37" s="188">
        <f t="shared" si="5"/>
        <v>0</v>
      </c>
      <c r="T37" s="188">
        <f t="shared" si="5"/>
        <v>0</v>
      </c>
      <c r="U37" s="188">
        <f t="shared" si="5"/>
        <v>0</v>
      </c>
      <c r="V37" s="188">
        <f t="shared" si="5"/>
        <v>0</v>
      </c>
      <c r="W37" s="188">
        <f t="shared" si="5"/>
        <v>0</v>
      </c>
      <c r="X37" s="188">
        <f t="shared" si="5"/>
        <v>0</v>
      </c>
      <c r="Y37" s="188">
        <f t="shared" si="5"/>
        <v>0</v>
      </c>
      <c r="Z37" s="188">
        <f t="shared" si="5"/>
        <v>0</v>
      </c>
      <c r="AA37" s="188">
        <f t="shared" si="5"/>
        <v>0</v>
      </c>
      <c r="AB37" s="188">
        <f t="shared" si="5"/>
        <v>0</v>
      </c>
      <c r="AC37" s="188">
        <f t="shared" si="5"/>
        <v>0</v>
      </c>
      <c r="AD37" s="189">
        <f t="shared" si="6"/>
        <v>0</v>
      </c>
      <c r="AE37" s="164"/>
    </row>
    <row r="38" spans="1:31" ht="15.75">
      <c r="A38" s="164"/>
      <c r="B38" s="164"/>
      <c r="C38" s="504" t="s">
        <v>1080</v>
      </c>
      <c r="D38" s="164"/>
      <c r="E38" s="164"/>
      <c r="F38" s="164"/>
      <c r="G38" s="164"/>
      <c r="H38" s="164"/>
      <c r="I38" s="164"/>
      <c r="J38" s="164"/>
      <c r="K38" s="164"/>
      <c r="L38" s="164"/>
      <c r="M38" s="164"/>
      <c r="N38" s="164"/>
      <c r="O38" s="164"/>
      <c r="P38" s="153">
        <f t="shared" si="7"/>
        <v>13</v>
      </c>
      <c r="Q38" s="187">
        <f t="shared" si="4"/>
        <v>0</v>
      </c>
      <c r="R38" s="188">
        <f t="shared" si="5"/>
        <v>0</v>
      </c>
      <c r="S38" s="188">
        <f t="shared" si="5"/>
        <v>0</v>
      </c>
      <c r="T38" s="188">
        <f t="shared" si="5"/>
        <v>0</v>
      </c>
      <c r="U38" s="188">
        <f t="shared" si="5"/>
        <v>0</v>
      </c>
      <c r="V38" s="188">
        <f t="shared" si="5"/>
        <v>0</v>
      </c>
      <c r="W38" s="188">
        <f t="shared" si="5"/>
        <v>0</v>
      </c>
      <c r="X38" s="188">
        <f t="shared" si="5"/>
        <v>0</v>
      </c>
      <c r="Y38" s="188">
        <f t="shared" si="5"/>
        <v>0</v>
      </c>
      <c r="Z38" s="188">
        <f t="shared" si="5"/>
        <v>0</v>
      </c>
      <c r="AA38" s="188">
        <f t="shared" si="5"/>
        <v>0</v>
      </c>
      <c r="AB38" s="188">
        <f t="shared" si="5"/>
        <v>0</v>
      </c>
      <c r="AC38" s="188">
        <f t="shared" si="5"/>
        <v>0</v>
      </c>
      <c r="AD38" s="189">
        <f t="shared" si="6"/>
        <v>0</v>
      </c>
      <c r="AE38" s="164"/>
    </row>
    <row r="39" spans="1:31" ht="16.5" thickBot="1">
      <c r="A39" s="164"/>
      <c r="B39" s="164"/>
      <c r="C39" s="504" t="s">
        <v>1081</v>
      </c>
      <c r="D39" s="164"/>
      <c r="E39" s="191"/>
      <c r="F39" s="164"/>
      <c r="G39" s="164"/>
      <c r="H39" s="164"/>
      <c r="I39" s="164"/>
      <c r="J39" s="192" t="s">
        <v>1082</v>
      </c>
      <c r="K39" s="164"/>
      <c r="L39" s="164"/>
      <c r="M39" s="164"/>
      <c r="N39" s="164"/>
      <c r="O39" s="164"/>
      <c r="P39" s="153">
        <f t="shared" si="7"/>
        <v>14</v>
      </c>
      <c r="Q39" s="187">
        <f t="shared" si="4"/>
        <v>0</v>
      </c>
      <c r="R39" s="188">
        <f t="shared" si="5"/>
        <v>0</v>
      </c>
      <c r="S39" s="188">
        <f t="shared" si="5"/>
        <v>0</v>
      </c>
      <c r="T39" s="188">
        <f t="shared" si="5"/>
        <v>0</v>
      </c>
      <c r="U39" s="188">
        <f t="shared" si="5"/>
        <v>0</v>
      </c>
      <c r="V39" s="188">
        <f t="shared" si="5"/>
        <v>0</v>
      </c>
      <c r="W39" s="188">
        <f t="shared" si="5"/>
        <v>0</v>
      </c>
      <c r="X39" s="188">
        <f t="shared" si="5"/>
        <v>0</v>
      </c>
      <c r="Y39" s="188">
        <f t="shared" si="5"/>
        <v>0</v>
      </c>
      <c r="Z39" s="188">
        <f t="shared" si="5"/>
        <v>0</v>
      </c>
      <c r="AA39" s="188">
        <f t="shared" si="5"/>
        <v>0</v>
      </c>
      <c r="AB39" s="188">
        <f t="shared" si="5"/>
        <v>0</v>
      </c>
      <c r="AC39" s="188">
        <f t="shared" si="5"/>
        <v>0</v>
      </c>
      <c r="AD39" s="189">
        <f t="shared" si="6"/>
        <v>0</v>
      </c>
      <c r="AE39" s="164"/>
    </row>
    <row r="40" spans="1:31" ht="17.25" thickBot="1" thickTop="1">
      <c r="A40" s="193" t="s">
        <v>1083</v>
      </c>
      <c r="B40" s="505" t="s">
        <v>1084</v>
      </c>
      <c r="C40" s="502"/>
      <c r="D40" s="506"/>
      <c r="E40" s="507"/>
      <c r="F40" s="508"/>
      <c r="G40" s="508"/>
      <c r="H40" s="508"/>
      <c r="I40" s="508"/>
      <c r="J40" s="508"/>
      <c r="K40" s="508"/>
      <c r="L40" s="508"/>
      <c r="M40" s="508"/>
      <c r="N40" s="508"/>
      <c r="O40" s="508"/>
      <c r="P40" s="153">
        <f t="shared" si="7"/>
        <v>15</v>
      </c>
      <c r="Q40" s="187">
        <f t="shared" si="4"/>
        <v>0</v>
      </c>
      <c r="R40" s="188">
        <f t="shared" si="5"/>
        <v>0</v>
      </c>
      <c r="S40" s="188">
        <f t="shared" si="5"/>
        <v>0</v>
      </c>
      <c r="T40" s="188">
        <f t="shared" si="5"/>
        <v>0</v>
      </c>
      <c r="U40" s="188">
        <f t="shared" si="5"/>
        <v>0</v>
      </c>
      <c r="V40" s="188">
        <f t="shared" si="5"/>
        <v>0</v>
      </c>
      <c r="W40" s="188">
        <f t="shared" si="5"/>
        <v>0</v>
      </c>
      <c r="X40" s="188">
        <f t="shared" si="5"/>
        <v>0</v>
      </c>
      <c r="Y40" s="188">
        <f t="shared" si="5"/>
        <v>0</v>
      </c>
      <c r="Z40" s="188">
        <f t="shared" si="5"/>
        <v>0</v>
      </c>
      <c r="AA40" s="188">
        <f t="shared" si="5"/>
        <v>0</v>
      </c>
      <c r="AB40" s="188">
        <f t="shared" si="5"/>
        <v>0</v>
      </c>
      <c r="AC40" s="188">
        <f t="shared" si="5"/>
        <v>0</v>
      </c>
      <c r="AD40" s="189">
        <f t="shared" si="6"/>
        <v>0</v>
      </c>
      <c r="AE40" s="164"/>
    </row>
    <row r="41" spans="1:31" ht="21" thickTop="1">
      <c r="A41" s="194"/>
      <c r="B41" s="195" t="s">
        <v>1085</v>
      </c>
      <c r="C41" s="503" t="s">
        <v>1086</v>
      </c>
      <c r="D41" s="196"/>
      <c r="E41" s="197"/>
      <c r="F41" s="197"/>
      <c r="G41" s="197"/>
      <c r="H41" s="197"/>
      <c r="I41" s="197"/>
      <c r="J41" s="197"/>
      <c r="K41" s="197"/>
      <c r="L41" s="197"/>
      <c r="M41" s="197"/>
      <c r="N41" s="197"/>
      <c r="O41" s="197"/>
      <c r="P41" s="153">
        <f t="shared" si="7"/>
        <v>16</v>
      </c>
      <c r="Q41" s="187">
        <f t="shared" si="4"/>
        <v>0</v>
      </c>
      <c r="R41" s="188">
        <f t="shared" si="5"/>
        <v>0</v>
      </c>
      <c r="S41" s="188">
        <f t="shared" si="5"/>
        <v>0</v>
      </c>
      <c r="T41" s="188">
        <f t="shared" si="5"/>
        <v>0</v>
      </c>
      <c r="U41" s="188">
        <f t="shared" si="5"/>
        <v>0</v>
      </c>
      <c r="V41" s="188">
        <f t="shared" si="5"/>
        <v>0</v>
      </c>
      <c r="W41" s="188">
        <f t="shared" si="5"/>
        <v>0</v>
      </c>
      <c r="X41" s="188">
        <f t="shared" si="5"/>
        <v>0</v>
      </c>
      <c r="Y41" s="188">
        <f t="shared" si="5"/>
        <v>0</v>
      </c>
      <c r="Z41" s="188">
        <f t="shared" si="5"/>
        <v>0</v>
      </c>
      <c r="AA41" s="188">
        <f t="shared" si="5"/>
        <v>0</v>
      </c>
      <c r="AB41" s="188">
        <f t="shared" si="5"/>
        <v>0</v>
      </c>
      <c r="AC41" s="188">
        <f t="shared" si="5"/>
        <v>0</v>
      </c>
      <c r="AD41" s="189">
        <f t="shared" si="6"/>
        <v>0</v>
      </c>
      <c r="AE41" s="164"/>
    </row>
    <row r="42" spans="1:31" ht="15.75">
      <c r="A42" s="496">
        <v>1</v>
      </c>
      <c r="B42" s="497" t="s">
        <v>1087</v>
      </c>
      <c r="C42" s="498"/>
      <c r="D42" s="499"/>
      <c r="E42" s="500"/>
      <c r="F42" s="500"/>
      <c r="G42" s="500"/>
      <c r="H42" s="500"/>
      <c r="I42" s="500"/>
      <c r="J42" s="500"/>
      <c r="K42" s="500"/>
      <c r="L42" s="500"/>
      <c r="M42" s="500"/>
      <c r="N42" s="500"/>
      <c r="O42" s="500"/>
      <c r="P42" s="153">
        <f t="shared" si="7"/>
        <v>17</v>
      </c>
      <c r="Q42" s="198">
        <f t="shared" si="4"/>
        <v>0</v>
      </c>
      <c r="R42" s="188">
        <f aca="true" t="shared" si="8" ref="R42:AC42">D58*C$64</f>
        <v>0</v>
      </c>
      <c r="S42" s="188">
        <f t="shared" si="8"/>
        <v>0</v>
      </c>
      <c r="T42" s="188">
        <f t="shared" si="8"/>
        <v>0</v>
      </c>
      <c r="U42" s="188">
        <f t="shared" si="8"/>
        <v>0</v>
      </c>
      <c r="V42" s="188">
        <f t="shared" si="8"/>
        <v>0</v>
      </c>
      <c r="W42" s="188">
        <f t="shared" si="8"/>
        <v>0</v>
      </c>
      <c r="X42" s="188">
        <f t="shared" si="8"/>
        <v>0</v>
      </c>
      <c r="Y42" s="188">
        <f t="shared" si="8"/>
        <v>0</v>
      </c>
      <c r="Z42" s="188">
        <f t="shared" si="8"/>
        <v>0</v>
      </c>
      <c r="AA42" s="188">
        <f t="shared" si="8"/>
        <v>0</v>
      </c>
      <c r="AB42" s="188">
        <f t="shared" si="8"/>
        <v>0</v>
      </c>
      <c r="AC42" s="188">
        <f t="shared" si="8"/>
        <v>0</v>
      </c>
      <c r="AD42" s="189">
        <f t="shared" si="6"/>
        <v>0</v>
      </c>
      <c r="AE42" s="164"/>
    </row>
    <row r="43" spans="1:31" ht="22.5" customHeight="1">
      <c r="A43" s="268">
        <f aca="true" t="shared" si="9" ref="A43:A58">A42+1</f>
        <v>2</v>
      </c>
      <c r="B43" s="497" t="s">
        <v>222</v>
      </c>
      <c r="C43" s="498"/>
      <c r="D43" s="499"/>
      <c r="E43" s="500"/>
      <c r="F43" s="500"/>
      <c r="G43" s="500"/>
      <c r="H43" s="500"/>
      <c r="I43" s="500"/>
      <c r="J43" s="500"/>
      <c r="K43" s="500"/>
      <c r="L43" s="500"/>
      <c r="M43" s="500"/>
      <c r="N43" s="500"/>
      <c r="O43" s="500"/>
      <c r="P43" s="199"/>
      <c r="Q43" s="200"/>
      <c r="R43" s="201"/>
      <c r="S43" s="201"/>
      <c r="T43" s="201"/>
      <c r="U43" s="201"/>
      <c r="V43" s="201"/>
      <c r="W43" s="201"/>
      <c r="X43" s="201"/>
      <c r="Y43" s="201"/>
      <c r="Z43" s="201"/>
      <c r="AA43" s="201"/>
      <c r="AB43" s="201"/>
      <c r="AC43" s="201"/>
      <c r="AD43" s="201"/>
      <c r="AE43" s="164"/>
    </row>
    <row r="44" spans="1:31" ht="22.5" customHeight="1">
      <c r="A44" s="268">
        <f t="shared" si="9"/>
        <v>3</v>
      </c>
      <c r="B44" s="497" t="s">
        <v>224</v>
      </c>
      <c r="C44" s="498"/>
      <c r="D44" s="499"/>
      <c r="E44" s="500"/>
      <c r="F44" s="500"/>
      <c r="G44" s="500"/>
      <c r="H44" s="500"/>
      <c r="I44" s="500"/>
      <c r="J44" s="500"/>
      <c r="K44" s="500"/>
      <c r="L44" s="500"/>
      <c r="M44" s="500"/>
      <c r="N44" s="500"/>
      <c r="O44" s="500"/>
      <c r="P44" s="202" t="s">
        <v>223</v>
      </c>
      <c r="Q44" s="164"/>
      <c r="R44" s="164"/>
      <c r="S44" s="164"/>
      <c r="T44" s="164"/>
      <c r="U44" s="164"/>
      <c r="V44" s="164"/>
      <c r="W44" s="164"/>
      <c r="X44" s="164"/>
      <c r="Y44" s="164"/>
      <c r="Z44" s="164"/>
      <c r="AA44" s="164"/>
      <c r="AB44" s="164"/>
      <c r="AC44" s="164"/>
      <c r="AD44" s="164"/>
      <c r="AE44" s="164"/>
    </row>
    <row r="45" spans="1:31" ht="22.5" customHeight="1">
      <c r="A45" s="268">
        <f t="shared" si="9"/>
        <v>4</v>
      </c>
      <c r="B45" s="501"/>
      <c r="C45" s="498"/>
      <c r="D45" s="499"/>
      <c r="E45" s="500"/>
      <c r="F45" s="500"/>
      <c r="G45" s="500"/>
      <c r="H45" s="500"/>
      <c r="I45" s="500"/>
      <c r="J45" s="500"/>
      <c r="K45" s="500"/>
      <c r="L45" s="500"/>
      <c r="M45" s="500"/>
      <c r="N45" s="500"/>
      <c r="O45" s="500"/>
      <c r="P45" s="153" t="s">
        <v>1083</v>
      </c>
      <c r="Q45" s="164" t="s">
        <v>225</v>
      </c>
      <c r="R45" s="184">
        <f aca="true" t="shared" si="10" ref="R45:AC45">D40</f>
        <v>0</v>
      </c>
      <c r="S45" s="184">
        <f t="shared" si="10"/>
        <v>0</v>
      </c>
      <c r="T45" s="184">
        <f t="shared" si="10"/>
        <v>0</v>
      </c>
      <c r="U45" s="184">
        <f t="shared" si="10"/>
        <v>0</v>
      </c>
      <c r="V45" s="184">
        <f t="shared" si="10"/>
        <v>0</v>
      </c>
      <c r="W45" s="184">
        <f t="shared" si="10"/>
        <v>0</v>
      </c>
      <c r="X45" s="184">
        <f t="shared" si="10"/>
        <v>0</v>
      </c>
      <c r="Y45" s="184">
        <f t="shared" si="10"/>
        <v>0</v>
      </c>
      <c r="Z45" s="184">
        <f t="shared" si="10"/>
        <v>0</v>
      </c>
      <c r="AA45" s="184">
        <f t="shared" si="10"/>
        <v>0</v>
      </c>
      <c r="AB45" s="184">
        <f t="shared" si="10"/>
        <v>0</v>
      </c>
      <c r="AC45" s="184">
        <f t="shared" si="10"/>
        <v>0</v>
      </c>
      <c r="AD45" s="185" t="s">
        <v>226</v>
      </c>
      <c r="AE45" s="164"/>
    </row>
    <row r="46" spans="1:31" ht="22.5" customHeight="1">
      <c r="A46" s="268">
        <f t="shared" si="9"/>
        <v>5</v>
      </c>
      <c r="B46" s="501"/>
      <c r="C46" s="498"/>
      <c r="D46" s="499"/>
      <c r="E46" s="500"/>
      <c r="F46" s="500"/>
      <c r="G46" s="500"/>
      <c r="H46" s="500"/>
      <c r="I46" s="500"/>
      <c r="J46" s="500"/>
      <c r="K46" s="500"/>
      <c r="L46" s="500"/>
      <c r="M46" s="500"/>
      <c r="N46" s="500"/>
      <c r="O46" s="500"/>
      <c r="P46" s="203"/>
      <c r="Q46" s="204"/>
      <c r="R46" s="205"/>
      <c r="S46" s="205"/>
      <c r="T46" s="205"/>
      <c r="U46" s="205"/>
      <c r="V46" s="205"/>
      <c r="W46" s="205"/>
      <c r="X46" s="205"/>
      <c r="Y46" s="205"/>
      <c r="Z46" s="205"/>
      <c r="AA46" s="205"/>
      <c r="AB46" s="205"/>
      <c r="AC46" s="205"/>
      <c r="AD46" s="205"/>
      <c r="AE46" s="164"/>
    </row>
    <row r="47" spans="1:31" ht="22.5" customHeight="1">
      <c r="A47" s="268">
        <f t="shared" si="9"/>
        <v>6</v>
      </c>
      <c r="B47" s="501"/>
      <c r="C47" s="498"/>
      <c r="D47" s="499"/>
      <c r="E47" s="500"/>
      <c r="F47" s="500"/>
      <c r="G47" s="500"/>
      <c r="H47" s="500"/>
      <c r="I47" s="500"/>
      <c r="J47" s="500"/>
      <c r="K47" s="500"/>
      <c r="L47" s="500"/>
      <c r="M47" s="500"/>
      <c r="N47" s="500"/>
      <c r="O47" s="500"/>
      <c r="P47" s="153">
        <v>1</v>
      </c>
      <c r="Q47" s="204" t="str">
        <f aca="true" t="shared" si="11" ref="Q47:Q63">B42</f>
        <v>Paddy Rice #1</v>
      </c>
      <c r="R47" s="205">
        <f aca="true" t="shared" si="12" ref="R47:AC47">R26/100000*C95</f>
        <v>0</v>
      </c>
      <c r="S47" s="205">
        <f t="shared" si="12"/>
        <v>0</v>
      </c>
      <c r="T47" s="205">
        <f t="shared" si="12"/>
        <v>0</v>
      </c>
      <c r="U47" s="205">
        <f t="shared" si="12"/>
        <v>0</v>
      </c>
      <c r="V47" s="205">
        <f t="shared" si="12"/>
        <v>0</v>
      </c>
      <c r="W47" s="205">
        <f t="shared" si="12"/>
        <v>0</v>
      </c>
      <c r="X47" s="205">
        <f t="shared" si="12"/>
        <v>0</v>
      </c>
      <c r="Y47" s="205">
        <f t="shared" si="12"/>
        <v>0</v>
      </c>
      <c r="Z47" s="205">
        <f t="shared" si="12"/>
        <v>0</v>
      </c>
      <c r="AA47" s="205">
        <f t="shared" si="12"/>
        <v>0</v>
      </c>
      <c r="AB47" s="205">
        <f t="shared" si="12"/>
        <v>0</v>
      </c>
      <c r="AC47" s="205">
        <f t="shared" si="12"/>
        <v>0</v>
      </c>
      <c r="AD47" s="189">
        <f aca="true" t="shared" si="13" ref="AD47:AD63">SUM(R47:AC47)</f>
        <v>0</v>
      </c>
      <c r="AE47" s="164"/>
    </row>
    <row r="48" spans="1:31" ht="22.5" customHeight="1">
      <c r="A48" s="268">
        <f t="shared" si="9"/>
        <v>7</v>
      </c>
      <c r="B48" s="501"/>
      <c r="C48" s="498"/>
      <c r="D48" s="499"/>
      <c r="E48" s="500"/>
      <c r="F48" s="500"/>
      <c r="G48" s="500"/>
      <c r="H48" s="500"/>
      <c r="I48" s="500"/>
      <c r="J48" s="500"/>
      <c r="K48" s="500"/>
      <c r="L48" s="500"/>
      <c r="M48" s="500"/>
      <c r="N48" s="500"/>
      <c r="O48" s="500"/>
      <c r="P48" s="153">
        <f>P47+1</f>
        <v>2</v>
      </c>
      <c r="Q48" s="204" t="str">
        <f t="shared" si="11"/>
        <v>Paddy Rice #2</v>
      </c>
      <c r="R48" s="205">
        <f aca="true" t="shared" si="14" ref="R48:AC48">R27/100000*C97</f>
        <v>0</v>
      </c>
      <c r="S48" s="205">
        <f t="shared" si="14"/>
        <v>0</v>
      </c>
      <c r="T48" s="205">
        <f t="shared" si="14"/>
        <v>0</v>
      </c>
      <c r="U48" s="205">
        <f t="shared" si="14"/>
        <v>0</v>
      </c>
      <c r="V48" s="205">
        <f t="shared" si="14"/>
        <v>0</v>
      </c>
      <c r="W48" s="205">
        <f t="shared" si="14"/>
        <v>0</v>
      </c>
      <c r="X48" s="205">
        <f t="shared" si="14"/>
        <v>0</v>
      </c>
      <c r="Y48" s="205">
        <f t="shared" si="14"/>
        <v>0</v>
      </c>
      <c r="Z48" s="205">
        <f t="shared" si="14"/>
        <v>0</v>
      </c>
      <c r="AA48" s="205">
        <f t="shared" si="14"/>
        <v>0</v>
      </c>
      <c r="AB48" s="205">
        <f t="shared" si="14"/>
        <v>0</v>
      </c>
      <c r="AC48" s="205">
        <f t="shared" si="14"/>
        <v>0</v>
      </c>
      <c r="AD48" s="189">
        <f t="shared" si="13"/>
        <v>0</v>
      </c>
      <c r="AE48" s="164"/>
    </row>
    <row r="49" spans="1:31" ht="22.5" customHeight="1">
      <c r="A49" s="268">
        <f t="shared" si="9"/>
        <v>8</v>
      </c>
      <c r="B49" s="501"/>
      <c r="C49" s="498"/>
      <c r="D49" s="499"/>
      <c r="E49" s="500"/>
      <c r="F49" s="500"/>
      <c r="G49" s="500"/>
      <c r="H49" s="500"/>
      <c r="I49" s="500"/>
      <c r="J49" s="500"/>
      <c r="K49" s="500"/>
      <c r="L49" s="500"/>
      <c r="M49" s="500"/>
      <c r="N49" s="500"/>
      <c r="O49" s="500"/>
      <c r="P49" s="153">
        <f aca="true" t="shared" si="15" ref="P49:P63">P48+1</f>
        <v>3</v>
      </c>
      <c r="Q49" s="204" t="str">
        <f t="shared" si="11"/>
        <v>Paddy Rice #3</v>
      </c>
      <c r="R49" s="205">
        <f aca="true" t="shared" si="16" ref="R49:AC49">R28/100000*C99</f>
        <v>0</v>
      </c>
      <c r="S49" s="205">
        <f t="shared" si="16"/>
        <v>0</v>
      </c>
      <c r="T49" s="205">
        <f t="shared" si="16"/>
        <v>0</v>
      </c>
      <c r="U49" s="205">
        <f t="shared" si="16"/>
        <v>0</v>
      </c>
      <c r="V49" s="205">
        <f t="shared" si="16"/>
        <v>0</v>
      </c>
      <c r="W49" s="205">
        <f t="shared" si="16"/>
        <v>0</v>
      </c>
      <c r="X49" s="205">
        <f t="shared" si="16"/>
        <v>0</v>
      </c>
      <c r="Y49" s="205">
        <f t="shared" si="16"/>
        <v>0</v>
      </c>
      <c r="Z49" s="205">
        <f t="shared" si="16"/>
        <v>0</v>
      </c>
      <c r="AA49" s="205">
        <f t="shared" si="16"/>
        <v>0</v>
      </c>
      <c r="AB49" s="205">
        <f t="shared" si="16"/>
        <v>0</v>
      </c>
      <c r="AC49" s="205">
        <f t="shared" si="16"/>
        <v>0</v>
      </c>
      <c r="AD49" s="189">
        <f t="shared" si="13"/>
        <v>0</v>
      </c>
      <c r="AE49" s="164"/>
    </row>
    <row r="50" spans="1:31" ht="22.5" customHeight="1">
      <c r="A50" s="268">
        <f t="shared" si="9"/>
        <v>9</v>
      </c>
      <c r="B50" s="501"/>
      <c r="C50" s="498"/>
      <c r="D50" s="499"/>
      <c r="E50" s="500"/>
      <c r="F50" s="500"/>
      <c r="G50" s="500"/>
      <c r="H50" s="500"/>
      <c r="I50" s="500"/>
      <c r="J50" s="500"/>
      <c r="K50" s="500"/>
      <c r="L50" s="500"/>
      <c r="M50" s="500"/>
      <c r="N50" s="500"/>
      <c r="O50" s="500"/>
      <c r="P50" s="153">
        <f t="shared" si="15"/>
        <v>4</v>
      </c>
      <c r="Q50" s="204">
        <f t="shared" si="11"/>
        <v>0</v>
      </c>
      <c r="R50" s="205">
        <f aca="true" t="shared" si="17" ref="R50:AC50">R29/100000*C101</f>
        <v>0</v>
      </c>
      <c r="S50" s="205">
        <f t="shared" si="17"/>
        <v>0</v>
      </c>
      <c r="T50" s="205">
        <f t="shared" si="17"/>
        <v>0</v>
      </c>
      <c r="U50" s="205">
        <f t="shared" si="17"/>
        <v>0</v>
      </c>
      <c r="V50" s="205">
        <f t="shared" si="17"/>
        <v>0</v>
      </c>
      <c r="W50" s="205">
        <f t="shared" si="17"/>
        <v>0</v>
      </c>
      <c r="X50" s="205">
        <f t="shared" si="17"/>
        <v>0</v>
      </c>
      <c r="Y50" s="205">
        <f t="shared" si="17"/>
        <v>0</v>
      </c>
      <c r="Z50" s="205">
        <f t="shared" si="17"/>
        <v>0</v>
      </c>
      <c r="AA50" s="205">
        <f t="shared" si="17"/>
        <v>0</v>
      </c>
      <c r="AB50" s="205">
        <f t="shared" si="17"/>
        <v>0</v>
      </c>
      <c r="AC50" s="205">
        <f t="shared" si="17"/>
        <v>0</v>
      </c>
      <c r="AD50" s="189">
        <f t="shared" si="13"/>
        <v>0</v>
      </c>
      <c r="AE50" s="164"/>
    </row>
    <row r="51" spans="1:31" ht="22.5" customHeight="1">
      <c r="A51" s="268">
        <f t="shared" si="9"/>
        <v>10</v>
      </c>
      <c r="B51" s="501"/>
      <c r="C51" s="498"/>
      <c r="D51" s="499"/>
      <c r="E51" s="500"/>
      <c r="F51" s="500"/>
      <c r="G51" s="500"/>
      <c r="H51" s="500"/>
      <c r="I51" s="500"/>
      <c r="J51" s="500"/>
      <c r="K51" s="500"/>
      <c r="L51" s="500"/>
      <c r="M51" s="500"/>
      <c r="N51" s="500"/>
      <c r="O51" s="500"/>
      <c r="P51" s="153">
        <f t="shared" si="15"/>
        <v>5</v>
      </c>
      <c r="Q51" s="204">
        <f t="shared" si="11"/>
        <v>0</v>
      </c>
      <c r="R51" s="205">
        <f aca="true" t="shared" si="18" ref="R51:AC51">R30/100000*C103</f>
        <v>0</v>
      </c>
      <c r="S51" s="205">
        <f t="shared" si="18"/>
        <v>0</v>
      </c>
      <c r="T51" s="205">
        <f t="shared" si="18"/>
        <v>0</v>
      </c>
      <c r="U51" s="205">
        <f t="shared" si="18"/>
        <v>0</v>
      </c>
      <c r="V51" s="205">
        <f t="shared" si="18"/>
        <v>0</v>
      </c>
      <c r="W51" s="205">
        <f t="shared" si="18"/>
        <v>0</v>
      </c>
      <c r="X51" s="205">
        <f t="shared" si="18"/>
        <v>0</v>
      </c>
      <c r="Y51" s="205">
        <f t="shared" si="18"/>
        <v>0</v>
      </c>
      <c r="Z51" s="205">
        <f t="shared" si="18"/>
        <v>0</v>
      </c>
      <c r="AA51" s="205">
        <f t="shared" si="18"/>
        <v>0</v>
      </c>
      <c r="AB51" s="205">
        <f t="shared" si="18"/>
        <v>0</v>
      </c>
      <c r="AC51" s="205">
        <f t="shared" si="18"/>
        <v>0</v>
      </c>
      <c r="AD51" s="189">
        <f t="shared" si="13"/>
        <v>0</v>
      </c>
      <c r="AE51" s="164"/>
    </row>
    <row r="52" spans="1:31" ht="22.5" customHeight="1">
      <c r="A52" s="268">
        <f t="shared" si="9"/>
        <v>11</v>
      </c>
      <c r="B52" s="501"/>
      <c r="C52" s="498"/>
      <c r="D52" s="499"/>
      <c r="E52" s="500"/>
      <c r="F52" s="500"/>
      <c r="G52" s="500"/>
      <c r="H52" s="500"/>
      <c r="I52" s="500"/>
      <c r="J52" s="500"/>
      <c r="K52" s="500"/>
      <c r="L52" s="500"/>
      <c r="M52" s="500"/>
      <c r="N52" s="500"/>
      <c r="O52" s="500"/>
      <c r="P52" s="153">
        <f t="shared" si="15"/>
        <v>6</v>
      </c>
      <c r="Q52" s="204">
        <f t="shared" si="11"/>
        <v>0</v>
      </c>
      <c r="R52" s="205">
        <f aca="true" t="shared" si="19" ref="R52:AC52">R31/100000*C105</f>
        <v>0</v>
      </c>
      <c r="S52" s="205">
        <f t="shared" si="19"/>
        <v>0</v>
      </c>
      <c r="T52" s="205">
        <f t="shared" si="19"/>
        <v>0</v>
      </c>
      <c r="U52" s="205">
        <f t="shared" si="19"/>
        <v>0</v>
      </c>
      <c r="V52" s="205">
        <f t="shared" si="19"/>
        <v>0</v>
      </c>
      <c r="W52" s="205">
        <f t="shared" si="19"/>
        <v>0</v>
      </c>
      <c r="X52" s="205">
        <f t="shared" si="19"/>
        <v>0</v>
      </c>
      <c r="Y52" s="205">
        <f t="shared" si="19"/>
        <v>0</v>
      </c>
      <c r="Z52" s="205">
        <f t="shared" si="19"/>
        <v>0</v>
      </c>
      <c r="AA52" s="205">
        <f t="shared" si="19"/>
        <v>0</v>
      </c>
      <c r="AB52" s="205">
        <f t="shared" si="19"/>
        <v>0</v>
      </c>
      <c r="AC52" s="205">
        <f t="shared" si="19"/>
        <v>0</v>
      </c>
      <c r="AD52" s="189">
        <f t="shared" si="13"/>
        <v>0</v>
      </c>
      <c r="AE52" s="164"/>
    </row>
    <row r="53" spans="1:31" ht="22.5" customHeight="1">
      <c r="A53" s="268">
        <f t="shared" si="9"/>
        <v>12</v>
      </c>
      <c r="B53" s="501"/>
      <c r="C53" s="498"/>
      <c r="D53" s="499"/>
      <c r="E53" s="500"/>
      <c r="F53" s="500"/>
      <c r="G53" s="500"/>
      <c r="H53" s="500"/>
      <c r="I53" s="500"/>
      <c r="J53" s="500"/>
      <c r="K53" s="500"/>
      <c r="L53" s="500"/>
      <c r="M53" s="500"/>
      <c r="N53" s="500"/>
      <c r="O53" s="500"/>
      <c r="P53" s="153">
        <f t="shared" si="15"/>
        <v>7</v>
      </c>
      <c r="Q53" s="204">
        <f t="shared" si="11"/>
        <v>0</v>
      </c>
      <c r="R53" s="205">
        <f aca="true" t="shared" si="20" ref="R53:AC53">R32/100000*C107</f>
        <v>0</v>
      </c>
      <c r="S53" s="205">
        <f t="shared" si="20"/>
        <v>0</v>
      </c>
      <c r="T53" s="205">
        <f t="shared" si="20"/>
        <v>0</v>
      </c>
      <c r="U53" s="205">
        <f t="shared" si="20"/>
        <v>0</v>
      </c>
      <c r="V53" s="205">
        <f t="shared" si="20"/>
        <v>0</v>
      </c>
      <c r="W53" s="205">
        <f t="shared" si="20"/>
        <v>0</v>
      </c>
      <c r="X53" s="205">
        <f t="shared" si="20"/>
        <v>0</v>
      </c>
      <c r="Y53" s="205">
        <f t="shared" si="20"/>
        <v>0</v>
      </c>
      <c r="Z53" s="205">
        <f t="shared" si="20"/>
        <v>0</v>
      </c>
      <c r="AA53" s="205">
        <f t="shared" si="20"/>
        <v>0</v>
      </c>
      <c r="AB53" s="205">
        <f t="shared" si="20"/>
        <v>0</v>
      </c>
      <c r="AC53" s="205">
        <f t="shared" si="20"/>
        <v>0</v>
      </c>
      <c r="AD53" s="189">
        <f t="shared" si="13"/>
        <v>0</v>
      </c>
      <c r="AE53" s="164"/>
    </row>
    <row r="54" spans="1:31" ht="22.5" customHeight="1">
      <c r="A54" s="268">
        <f t="shared" si="9"/>
        <v>13</v>
      </c>
      <c r="B54" s="501"/>
      <c r="C54" s="498"/>
      <c r="D54" s="499"/>
      <c r="E54" s="500"/>
      <c r="F54" s="500"/>
      <c r="G54" s="500"/>
      <c r="H54" s="500"/>
      <c r="I54" s="500"/>
      <c r="J54" s="500"/>
      <c r="K54" s="500"/>
      <c r="L54" s="500"/>
      <c r="M54" s="500"/>
      <c r="N54" s="500"/>
      <c r="O54" s="500"/>
      <c r="P54" s="153">
        <f t="shared" si="15"/>
        <v>8</v>
      </c>
      <c r="Q54" s="204">
        <f t="shared" si="11"/>
        <v>0</v>
      </c>
      <c r="R54" s="205">
        <f aca="true" t="shared" si="21" ref="R54:AC54">R33/100000*C109</f>
        <v>0</v>
      </c>
      <c r="S54" s="205">
        <f t="shared" si="21"/>
        <v>0</v>
      </c>
      <c r="T54" s="205">
        <f t="shared" si="21"/>
        <v>0</v>
      </c>
      <c r="U54" s="205">
        <f t="shared" si="21"/>
        <v>0</v>
      </c>
      <c r="V54" s="205">
        <f t="shared" si="21"/>
        <v>0</v>
      </c>
      <c r="W54" s="205">
        <f t="shared" si="21"/>
        <v>0</v>
      </c>
      <c r="X54" s="205">
        <f t="shared" si="21"/>
        <v>0</v>
      </c>
      <c r="Y54" s="205">
        <f t="shared" si="21"/>
        <v>0</v>
      </c>
      <c r="Z54" s="205">
        <f t="shared" si="21"/>
        <v>0</v>
      </c>
      <c r="AA54" s="205">
        <f t="shared" si="21"/>
        <v>0</v>
      </c>
      <c r="AB54" s="205">
        <f t="shared" si="21"/>
        <v>0</v>
      </c>
      <c r="AC54" s="205">
        <f t="shared" si="21"/>
        <v>0</v>
      </c>
      <c r="AD54" s="189">
        <f t="shared" si="13"/>
        <v>0</v>
      </c>
      <c r="AE54" s="164"/>
    </row>
    <row r="55" spans="1:31" ht="22.5" customHeight="1">
      <c r="A55" s="268">
        <f t="shared" si="9"/>
        <v>14</v>
      </c>
      <c r="B55" s="501"/>
      <c r="C55" s="498"/>
      <c r="D55" s="499"/>
      <c r="E55" s="500"/>
      <c r="F55" s="500"/>
      <c r="G55" s="500"/>
      <c r="H55" s="500"/>
      <c r="I55" s="500"/>
      <c r="J55" s="500"/>
      <c r="K55" s="500"/>
      <c r="L55" s="500"/>
      <c r="M55" s="500"/>
      <c r="N55" s="500"/>
      <c r="O55" s="500"/>
      <c r="P55" s="153">
        <f t="shared" si="15"/>
        <v>9</v>
      </c>
      <c r="Q55" s="204">
        <f t="shared" si="11"/>
        <v>0</v>
      </c>
      <c r="R55" s="205">
        <f aca="true" t="shared" si="22" ref="R55:AC55">R34/100000*C111</f>
        <v>0</v>
      </c>
      <c r="S55" s="205">
        <f t="shared" si="22"/>
        <v>0</v>
      </c>
      <c r="T55" s="205">
        <f t="shared" si="22"/>
        <v>0</v>
      </c>
      <c r="U55" s="205">
        <f t="shared" si="22"/>
        <v>0</v>
      </c>
      <c r="V55" s="205">
        <f t="shared" si="22"/>
        <v>0</v>
      </c>
      <c r="W55" s="205">
        <f t="shared" si="22"/>
        <v>0</v>
      </c>
      <c r="X55" s="205">
        <f t="shared" si="22"/>
        <v>0</v>
      </c>
      <c r="Y55" s="205">
        <f t="shared" si="22"/>
        <v>0</v>
      </c>
      <c r="Z55" s="205">
        <f t="shared" si="22"/>
        <v>0</v>
      </c>
      <c r="AA55" s="205">
        <f t="shared" si="22"/>
        <v>0</v>
      </c>
      <c r="AB55" s="205">
        <f t="shared" si="22"/>
        <v>0</v>
      </c>
      <c r="AC55" s="205">
        <f t="shared" si="22"/>
        <v>0</v>
      </c>
      <c r="AD55" s="189">
        <f t="shared" si="13"/>
        <v>0</v>
      </c>
      <c r="AE55" s="164"/>
    </row>
    <row r="56" spans="1:31" ht="22.5" customHeight="1">
      <c r="A56" s="268">
        <f t="shared" si="9"/>
        <v>15</v>
      </c>
      <c r="B56" s="501"/>
      <c r="C56" s="498"/>
      <c r="D56" s="499"/>
      <c r="E56" s="500"/>
      <c r="F56" s="500"/>
      <c r="G56" s="500"/>
      <c r="H56" s="500"/>
      <c r="I56" s="500"/>
      <c r="J56" s="500"/>
      <c r="K56" s="500"/>
      <c r="L56" s="500"/>
      <c r="M56" s="500"/>
      <c r="N56" s="500"/>
      <c r="O56" s="500"/>
      <c r="P56" s="153">
        <f t="shared" si="15"/>
        <v>10</v>
      </c>
      <c r="Q56" s="204">
        <f t="shared" si="11"/>
        <v>0</v>
      </c>
      <c r="R56" s="205">
        <f aca="true" t="shared" si="23" ref="R56:AC56">R35/100000*C113</f>
        <v>0</v>
      </c>
      <c r="S56" s="205">
        <f t="shared" si="23"/>
        <v>0</v>
      </c>
      <c r="T56" s="205">
        <f t="shared" si="23"/>
        <v>0</v>
      </c>
      <c r="U56" s="205">
        <f t="shared" si="23"/>
        <v>0</v>
      </c>
      <c r="V56" s="205">
        <f t="shared" si="23"/>
        <v>0</v>
      </c>
      <c r="W56" s="205">
        <f t="shared" si="23"/>
        <v>0</v>
      </c>
      <c r="X56" s="205">
        <f t="shared" si="23"/>
        <v>0</v>
      </c>
      <c r="Y56" s="205">
        <f t="shared" si="23"/>
        <v>0</v>
      </c>
      <c r="Z56" s="205">
        <f t="shared" si="23"/>
        <v>0</v>
      </c>
      <c r="AA56" s="205">
        <f t="shared" si="23"/>
        <v>0</v>
      </c>
      <c r="AB56" s="205">
        <f t="shared" si="23"/>
        <v>0</v>
      </c>
      <c r="AC56" s="205">
        <f t="shared" si="23"/>
        <v>0</v>
      </c>
      <c r="AD56" s="189">
        <f t="shared" si="13"/>
        <v>0</v>
      </c>
      <c r="AE56" s="164"/>
    </row>
    <row r="57" spans="1:31" ht="22.5" customHeight="1">
      <c r="A57" s="268">
        <f t="shared" si="9"/>
        <v>16</v>
      </c>
      <c r="B57" s="501"/>
      <c r="C57" s="498"/>
      <c r="D57" s="499"/>
      <c r="E57" s="500"/>
      <c r="F57" s="500"/>
      <c r="G57" s="500"/>
      <c r="H57" s="500"/>
      <c r="I57" s="500"/>
      <c r="J57" s="500"/>
      <c r="K57" s="500"/>
      <c r="L57" s="500"/>
      <c r="M57" s="500"/>
      <c r="N57" s="500"/>
      <c r="O57" s="500"/>
      <c r="P57" s="153">
        <f t="shared" si="15"/>
        <v>11</v>
      </c>
      <c r="Q57" s="204">
        <f t="shared" si="11"/>
        <v>0</v>
      </c>
      <c r="R57" s="205">
        <f aca="true" t="shared" si="24" ref="R57:AC57">R36/100000*C115</f>
        <v>0</v>
      </c>
      <c r="S57" s="205">
        <f t="shared" si="24"/>
        <v>0</v>
      </c>
      <c r="T57" s="205">
        <f t="shared" si="24"/>
        <v>0</v>
      </c>
      <c r="U57" s="205">
        <f t="shared" si="24"/>
        <v>0</v>
      </c>
      <c r="V57" s="205">
        <f t="shared" si="24"/>
        <v>0</v>
      </c>
      <c r="W57" s="205">
        <f t="shared" si="24"/>
        <v>0</v>
      </c>
      <c r="X57" s="205">
        <f t="shared" si="24"/>
        <v>0</v>
      </c>
      <c r="Y57" s="205">
        <f t="shared" si="24"/>
        <v>0</v>
      </c>
      <c r="Z57" s="205">
        <f t="shared" si="24"/>
        <v>0</v>
      </c>
      <c r="AA57" s="205">
        <f t="shared" si="24"/>
        <v>0</v>
      </c>
      <c r="AB57" s="205">
        <f t="shared" si="24"/>
        <v>0</v>
      </c>
      <c r="AC57" s="205">
        <f t="shared" si="24"/>
        <v>0</v>
      </c>
      <c r="AD57" s="189">
        <f t="shared" si="13"/>
        <v>0</v>
      </c>
      <c r="AE57" s="164"/>
    </row>
    <row r="58" spans="1:31" ht="22.5" customHeight="1">
      <c r="A58" s="268">
        <f t="shared" si="9"/>
        <v>17</v>
      </c>
      <c r="B58" s="501"/>
      <c r="C58" s="498"/>
      <c r="D58" s="499"/>
      <c r="E58" s="500"/>
      <c r="F58" s="500"/>
      <c r="G58" s="500"/>
      <c r="H58" s="500"/>
      <c r="I58" s="500"/>
      <c r="J58" s="500"/>
      <c r="K58" s="500"/>
      <c r="L58" s="500"/>
      <c r="M58" s="500"/>
      <c r="N58" s="500"/>
      <c r="O58" s="500"/>
      <c r="P58" s="153">
        <f t="shared" si="15"/>
        <v>12</v>
      </c>
      <c r="Q58" s="204">
        <f t="shared" si="11"/>
        <v>0</v>
      </c>
      <c r="R58" s="205">
        <f aca="true" t="shared" si="25" ref="R58:AC58">R37/100000*C117</f>
        <v>0</v>
      </c>
      <c r="S58" s="205">
        <f t="shared" si="25"/>
        <v>0</v>
      </c>
      <c r="T58" s="205">
        <f t="shared" si="25"/>
        <v>0</v>
      </c>
      <c r="U58" s="205">
        <f t="shared" si="25"/>
        <v>0</v>
      </c>
      <c r="V58" s="205">
        <f t="shared" si="25"/>
        <v>0</v>
      </c>
      <c r="W58" s="205">
        <f t="shared" si="25"/>
        <v>0</v>
      </c>
      <c r="X58" s="205">
        <f t="shared" si="25"/>
        <v>0</v>
      </c>
      <c r="Y58" s="205">
        <f t="shared" si="25"/>
        <v>0</v>
      </c>
      <c r="Z58" s="205">
        <f t="shared" si="25"/>
        <v>0</v>
      </c>
      <c r="AA58" s="205">
        <f t="shared" si="25"/>
        <v>0</v>
      </c>
      <c r="AB58" s="205">
        <f t="shared" si="25"/>
        <v>0</v>
      </c>
      <c r="AC58" s="205">
        <f t="shared" si="25"/>
        <v>0</v>
      </c>
      <c r="AD58" s="189">
        <f t="shared" si="13"/>
        <v>0</v>
      </c>
      <c r="AE58" s="164"/>
    </row>
    <row r="59" spans="1:31" ht="22.5" customHeight="1">
      <c r="A59" s="152"/>
      <c r="B59" s="176"/>
      <c r="C59" s="152"/>
      <c r="D59" s="152"/>
      <c r="E59" s="152"/>
      <c r="F59" s="152"/>
      <c r="G59" s="152"/>
      <c r="H59" s="152"/>
      <c r="I59" s="152"/>
      <c r="J59" s="152"/>
      <c r="K59" s="152"/>
      <c r="L59" s="152"/>
      <c r="M59" s="152"/>
      <c r="N59" s="152"/>
      <c r="O59" s="152"/>
      <c r="P59" s="153">
        <f t="shared" si="15"/>
        <v>13</v>
      </c>
      <c r="Q59" s="204">
        <f t="shared" si="11"/>
        <v>0</v>
      </c>
      <c r="R59" s="205">
        <f aca="true" t="shared" si="26" ref="R59:AC59">R38/100000*C119</f>
        <v>0</v>
      </c>
      <c r="S59" s="205">
        <f t="shared" si="26"/>
        <v>0</v>
      </c>
      <c r="T59" s="205">
        <f t="shared" si="26"/>
        <v>0</v>
      </c>
      <c r="U59" s="205">
        <f t="shared" si="26"/>
        <v>0</v>
      </c>
      <c r="V59" s="205">
        <f t="shared" si="26"/>
        <v>0</v>
      </c>
      <c r="W59" s="205">
        <f t="shared" si="26"/>
        <v>0</v>
      </c>
      <c r="X59" s="205">
        <f t="shared" si="26"/>
        <v>0</v>
      </c>
      <c r="Y59" s="205">
        <f t="shared" si="26"/>
        <v>0</v>
      </c>
      <c r="Z59" s="205">
        <f t="shared" si="26"/>
        <v>0</v>
      </c>
      <c r="AA59" s="205">
        <f t="shared" si="26"/>
        <v>0</v>
      </c>
      <c r="AB59" s="205">
        <f t="shared" si="26"/>
        <v>0</v>
      </c>
      <c r="AC59" s="205">
        <f t="shared" si="26"/>
        <v>0</v>
      </c>
      <c r="AD59" s="189">
        <f t="shared" si="13"/>
        <v>0</v>
      </c>
      <c r="AE59" s="164"/>
    </row>
    <row r="60" spans="1:31" ht="15.75">
      <c r="A60" s="152"/>
      <c r="B60" s="152"/>
      <c r="C60" s="152"/>
      <c r="D60" s="152"/>
      <c r="E60" s="152"/>
      <c r="F60" s="152"/>
      <c r="G60" s="152"/>
      <c r="H60" s="152"/>
      <c r="I60" s="152"/>
      <c r="J60" s="152"/>
      <c r="K60" s="152"/>
      <c r="L60" s="152"/>
      <c r="M60" s="152"/>
      <c r="N60" s="152"/>
      <c r="O60" s="152"/>
      <c r="P60" s="153">
        <f t="shared" si="15"/>
        <v>14</v>
      </c>
      <c r="Q60" s="204">
        <f t="shared" si="11"/>
        <v>0</v>
      </c>
      <c r="R60" s="205">
        <f aca="true" t="shared" si="27" ref="R60:AC60">R39/100000*C121</f>
        <v>0</v>
      </c>
      <c r="S60" s="205">
        <f t="shared" si="27"/>
        <v>0</v>
      </c>
      <c r="T60" s="205">
        <f t="shared" si="27"/>
        <v>0</v>
      </c>
      <c r="U60" s="205">
        <f t="shared" si="27"/>
        <v>0</v>
      </c>
      <c r="V60" s="205">
        <f t="shared" si="27"/>
        <v>0</v>
      </c>
      <c r="W60" s="205">
        <f t="shared" si="27"/>
        <v>0</v>
      </c>
      <c r="X60" s="205">
        <f t="shared" si="27"/>
        <v>0</v>
      </c>
      <c r="Y60" s="205">
        <f t="shared" si="27"/>
        <v>0</v>
      </c>
      <c r="Z60" s="205">
        <f t="shared" si="27"/>
        <v>0</v>
      </c>
      <c r="AA60" s="205">
        <f t="shared" si="27"/>
        <v>0</v>
      </c>
      <c r="AB60" s="205">
        <f t="shared" si="27"/>
        <v>0</v>
      </c>
      <c r="AC60" s="205">
        <f t="shared" si="27"/>
        <v>0</v>
      </c>
      <c r="AD60" s="189">
        <f t="shared" si="13"/>
        <v>0</v>
      </c>
      <c r="AE60" s="164"/>
    </row>
    <row r="61" spans="1:31" ht="15.75">
      <c r="A61" s="152"/>
      <c r="B61" s="152"/>
      <c r="C61" s="152"/>
      <c r="D61" s="152"/>
      <c r="E61" s="152"/>
      <c r="F61" s="152"/>
      <c r="G61" s="152"/>
      <c r="H61" s="152"/>
      <c r="I61" s="152"/>
      <c r="J61" s="152"/>
      <c r="K61" s="152"/>
      <c r="L61" s="152"/>
      <c r="M61" s="152"/>
      <c r="N61" s="152"/>
      <c r="O61" s="152"/>
      <c r="P61" s="153">
        <f t="shared" si="15"/>
        <v>15</v>
      </c>
      <c r="Q61" s="204">
        <f t="shared" si="11"/>
        <v>0</v>
      </c>
      <c r="R61" s="205">
        <f aca="true" t="shared" si="28" ref="R61:AC61">R40/100000*C123</f>
        <v>0</v>
      </c>
      <c r="S61" s="205">
        <f t="shared" si="28"/>
        <v>0</v>
      </c>
      <c r="T61" s="205">
        <f t="shared" si="28"/>
        <v>0</v>
      </c>
      <c r="U61" s="205">
        <f t="shared" si="28"/>
        <v>0</v>
      </c>
      <c r="V61" s="205">
        <f t="shared" si="28"/>
        <v>0</v>
      </c>
      <c r="W61" s="205">
        <f t="shared" si="28"/>
        <v>0</v>
      </c>
      <c r="X61" s="205">
        <f t="shared" si="28"/>
        <v>0</v>
      </c>
      <c r="Y61" s="205">
        <f t="shared" si="28"/>
        <v>0</v>
      </c>
      <c r="Z61" s="205">
        <f t="shared" si="28"/>
        <v>0</v>
      </c>
      <c r="AA61" s="205">
        <f t="shared" si="28"/>
        <v>0</v>
      </c>
      <c r="AB61" s="205">
        <f t="shared" si="28"/>
        <v>0</v>
      </c>
      <c r="AC61" s="205">
        <f t="shared" si="28"/>
        <v>0</v>
      </c>
      <c r="AD61" s="189">
        <f t="shared" si="13"/>
        <v>0</v>
      </c>
      <c r="AE61" s="164"/>
    </row>
    <row r="62" spans="1:31" ht="23.25">
      <c r="A62" s="206" t="s">
        <v>227</v>
      </c>
      <c r="B62" s="152"/>
      <c r="C62" s="207"/>
      <c r="D62" s="152"/>
      <c r="E62" s="152"/>
      <c r="F62" s="152"/>
      <c r="G62" s="152"/>
      <c r="H62" s="152"/>
      <c r="I62" s="152"/>
      <c r="J62" s="152"/>
      <c r="K62" s="152"/>
      <c r="L62" s="152"/>
      <c r="M62" s="152"/>
      <c r="N62" s="152"/>
      <c r="O62" s="152"/>
      <c r="P62" s="153">
        <f t="shared" si="15"/>
        <v>16</v>
      </c>
      <c r="Q62" s="204">
        <f t="shared" si="11"/>
        <v>0</v>
      </c>
      <c r="R62" s="205">
        <f aca="true" t="shared" si="29" ref="R62:AC62">R41/100000*C125</f>
        <v>0</v>
      </c>
      <c r="S62" s="205">
        <f t="shared" si="29"/>
        <v>0</v>
      </c>
      <c r="T62" s="205">
        <f t="shared" si="29"/>
        <v>0</v>
      </c>
      <c r="U62" s="205">
        <f t="shared" si="29"/>
        <v>0</v>
      </c>
      <c r="V62" s="205">
        <f t="shared" si="29"/>
        <v>0</v>
      </c>
      <c r="W62" s="205">
        <f t="shared" si="29"/>
        <v>0</v>
      </c>
      <c r="X62" s="205">
        <f t="shared" si="29"/>
        <v>0</v>
      </c>
      <c r="Y62" s="205">
        <f t="shared" si="29"/>
        <v>0</v>
      </c>
      <c r="Z62" s="205">
        <f t="shared" si="29"/>
        <v>0</v>
      </c>
      <c r="AA62" s="205">
        <f t="shared" si="29"/>
        <v>0</v>
      </c>
      <c r="AB62" s="205">
        <f t="shared" si="29"/>
        <v>0</v>
      </c>
      <c r="AC62" s="205">
        <f t="shared" si="29"/>
        <v>0</v>
      </c>
      <c r="AD62" s="189">
        <f t="shared" si="13"/>
        <v>0</v>
      </c>
      <c r="AE62" s="164"/>
    </row>
    <row r="63" spans="1:31" ht="15.75">
      <c r="A63" s="176"/>
      <c r="B63" s="509" t="s">
        <v>228</v>
      </c>
      <c r="C63" s="510">
        <f aca="true" t="shared" si="30" ref="C63:N63">D40</f>
        <v>0</v>
      </c>
      <c r="D63" s="511">
        <f t="shared" si="30"/>
        <v>0</v>
      </c>
      <c r="E63" s="511">
        <f t="shared" si="30"/>
        <v>0</v>
      </c>
      <c r="F63" s="511">
        <f t="shared" si="30"/>
        <v>0</v>
      </c>
      <c r="G63" s="511">
        <f t="shared" si="30"/>
        <v>0</v>
      </c>
      <c r="H63" s="511">
        <f t="shared" si="30"/>
        <v>0</v>
      </c>
      <c r="I63" s="511">
        <f t="shared" si="30"/>
        <v>0</v>
      </c>
      <c r="J63" s="511">
        <f t="shared" si="30"/>
        <v>0</v>
      </c>
      <c r="K63" s="511">
        <f t="shared" si="30"/>
        <v>0</v>
      </c>
      <c r="L63" s="511">
        <f t="shared" si="30"/>
        <v>0</v>
      </c>
      <c r="M63" s="511">
        <f t="shared" si="30"/>
        <v>0</v>
      </c>
      <c r="N63" s="511">
        <f t="shared" si="30"/>
        <v>0</v>
      </c>
      <c r="O63" s="512" t="s">
        <v>229</v>
      </c>
      <c r="P63" s="153">
        <f t="shared" si="15"/>
        <v>17</v>
      </c>
      <c r="Q63" s="204">
        <f t="shared" si="11"/>
        <v>0</v>
      </c>
      <c r="R63" s="208">
        <f aca="true" t="shared" si="31" ref="R63:AC63">R42/100000*C127</f>
        <v>0</v>
      </c>
      <c r="S63" s="208">
        <f t="shared" si="31"/>
        <v>0</v>
      </c>
      <c r="T63" s="208">
        <f t="shared" si="31"/>
        <v>0</v>
      </c>
      <c r="U63" s="208">
        <f t="shared" si="31"/>
        <v>0</v>
      </c>
      <c r="V63" s="208">
        <f t="shared" si="31"/>
        <v>0</v>
      </c>
      <c r="W63" s="208">
        <f t="shared" si="31"/>
        <v>0</v>
      </c>
      <c r="X63" s="208">
        <f t="shared" si="31"/>
        <v>0</v>
      </c>
      <c r="Y63" s="208">
        <f t="shared" si="31"/>
        <v>0</v>
      </c>
      <c r="Z63" s="208">
        <f t="shared" si="31"/>
        <v>0</v>
      </c>
      <c r="AA63" s="208">
        <f t="shared" si="31"/>
        <v>0</v>
      </c>
      <c r="AB63" s="208">
        <f t="shared" si="31"/>
        <v>0</v>
      </c>
      <c r="AC63" s="208">
        <f t="shared" si="31"/>
        <v>0</v>
      </c>
      <c r="AD63" s="189">
        <f t="shared" si="13"/>
        <v>0</v>
      </c>
      <c r="AE63" s="164"/>
    </row>
    <row r="64" spans="1:31" ht="15.75">
      <c r="A64" s="176"/>
      <c r="B64" s="509" t="s">
        <v>231</v>
      </c>
      <c r="C64" s="513"/>
      <c r="D64" s="514"/>
      <c r="E64" s="514"/>
      <c r="F64" s="514"/>
      <c r="G64" s="514"/>
      <c r="H64" s="514"/>
      <c r="I64" s="514"/>
      <c r="J64" s="514"/>
      <c r="K64" s="514"/>
      <c r="L64" s="514"/>
      <c r="M64" s="514"/>
      <c r="N64" s="514"/>
      <c r="O64" s="515">
        <f>SUM(C64:N64)</f>
        <v>0</v>
      </c>
      <c r="P64" s="210"/>
      <c r="Q64" s="211" t="s">
        <v>230</v>
      </c>
      <c r="R64" s="212">
        <f>SUM(R47:R63)</f>
        <v>0</v>
      </c>
      <c r="S64" s="212">
        <f aca="true" t="shared" si="32" ref="S64:AC64">SUM(S47:S63)</f>
        <v>0</v>
      </c>
      <c r="T64" s="212">
        <f t="shared" si="32"/>
        <v>0</v>
      </c>
      <c r="U64" s="212">
        <f t="shared" si="32"/>
        <v>0</v>
      </c>
      <c r="V64" s="212">
        <f t="shared" si="32"/>
        <v>0</v>
      </c>
      <c r="W64" s="212">
        <f t="shared" si="32"/>
        <v>0</v>
      </c>
      <c r="X64" s="212">
        <f t="shared" si="32"/>
        <v>0</v>
      </c>
      <c r="Y64" s="212">
        <f t="shared" si="32"/>
        <v>0</v>
      </c>
      <c r="Z64" s="212">
        <f t="shared" si="32"/>
        <v>0</v>
      </c>
      <c r="AA64" s="212">
        <f t="shared" si="32"/>
        <v>0</v>
      </c>
      <c r="AB64" s="212">
        <f t="shared" si="32"/>
        <v>0</v>
      </c>
      <c r="AC64" s="212">
        <f t="shared" si="32"/>
        <v>0</v>
      </c>
      <c r="AD64" s="210"/>
      <c r="AE64" s="164"/>
    </row>
    <row r="65" spans="1:31" ht="15.75">
      <c r="A65" s="152"/>
      <c r="B65" s="180"/>
      <c r="C65" s="214"/>
      <c r="D65" s="177"/>
      <c r="E65" s="177"/>
      <c r="F65" s="177"/>
      <c r="G65" s="177"/>
      <c r="H65" s="177"/>
      <c r="I65" s="177"/>
      <c r="J65" s="177"/>
      <c r="K65" s="177"/>
      <c r="L65" s="177"/>
      <c r="M65" s="177"/>
      <c r="N65" s="177"/>
      <c r="O65" s="215"/>
      <c r="P65" s="210"/>
      <c r="Q65" s="211" t="s">
        <v>232</v>
      </c>
      <c r="R65" s="213">
        <f aca="true" t="shared" si="33" ref="R65:X65">Q200</f>
        <v>0</v>
      </c>
      <c r="S65" s="213">
        <f t="shared" si="33"/>
        <v>0</v>
      </c>
      <c r="T65" s="213">
        <f t="shared" si="33"/>
        <v>0</v>
      </c>
      <c r="U65" s="213">
        <f t="shared" si="33"/>
        <v>0</v>
      </c>
      <c r="V65" s="213">
        <f t="shared" si="33"/>
        <v>0</v>
      </c>
      <c r="W65" s="213">
        <f t="shared" si="33"/>
        <v>0</v>
      </c>
      <c r="X65" s="213">
        <f t="shared" si="33"/>
        <v>0</v>
      </c>
      <c r="Y65" s="213">
        <f>X200</f>
        <v>0</v>
      </c>
      <c r="Z65" s="213">
        <f>Y200</f>
        <v>0</v>
      </c>
      <c r="AA65" s="213">
        <f>Z200</f>
        <v>0</v>
      </c>
      <c r="AB65" s="213">
        <f>AA200</f>
        <v>0</v>
      </c>
      <c r="AC65" s="213">
        <f>AB200</f>
        <v>0</v>
      </c>
      <c r="AD65" s="210"/>
      <c r="AE65" s="164"/>
    </row>
    <row r="66" spans="1:31" ht="15.75">
      <c r="A66" s="152"/>
      <c r="B66" s="180"/>
      <c r="C66" s="216"/>
      <c r="D66" s="216"/>
      <c r="E66" s="216"/>
      <c r="F66" s="152"/>
      <c r="G66" s="152"/>
      <c r="H66" s="152"/>
      <c r="I66" s="152"/>
      <c r="J66" s="152"/>
      <c r="K66" s="152"/>
      <c r="L66" s="152"/>
      <c r="M66" s="152"/>
      <c r="N66" s="152"/>
      <c r="O66" s="152"/>
      <c r="P66" s="210"/>
      <c r="Q66" s="211" t="s">
        <v>233</v>
      </c>
      <c r="R66" s="189">
        <f>R64-R65</f>
        <v>0</v>
      </c>
      <c r="S66" s="189">
        <f aca="true" t="shared" si="34" ref="S66:AC66">S64-S65</f>
        <v>0</v>
      </c>
      <c r="T66" s="189">
        <f t="shared" si="34"/>
        <v>0</v>
      </c>
      <c r="U66" s="189">
        <f t="shared" si="34"/>
        <v>0</v>
      </c>
      <c r="V66" s="189">
        <f t="shared" si="34"/>
        <v>0</v>
      </c>
      <c r="W66" s="189">
        <f t="shared" si="34"/>
        <v>0</v>
      </c>
      <c r="X66" s="189">
        <f t="shared" si="34"/>
        <v>0</v>
      </c>
      <c r="Y66" s="189">
        <f t="shared" si="34"/>
        <v>0</v>
      </c>
      <c r="Z66" s="189">
        <f t="shared" si="34"/>
        <v>0</v>
      </c>
      <c r="AA66" s="189">
        <f t="shared" si="34"/>
        <v>0</v>
      </c>
      <c r="AB66" s="189">
        <f t="shared" si="34"/>
        <v>0</v>
      </c>
      <c r="AC66" s="189">
        <f t="shared" si="34"/>
        <v>0</v>
      </c>
      <c r="AD66" s="164"/>
      <c r="AE66" s="164"/>
    </row>
    <row r="67" spans="1:31" ht="15.75">
      <c r="A67" s="152"/>
      <c r="B67" s="180"/>
      <c r="C67" s="216"/>
      <c r="D67" s="216"/>
      <c r="E67" s="216"/>
      <c r="F67" s="152"/>
      <c r="G67" s="152"/>
      <c r="H67" s="152"/>
      <c r="I67" s="152"/>
      <c r="J67" s="152"/>
      <c r="K67" s="152"/>
      <c r="L67" s="152"/>
      <c r="M67" s="152"/>
      <c r="N67" s="152"/>
      <c r="O67" s="152"/>
      <c r="P67" s="210"/>
      <c r="Q67" s="211"/>
      <c r="R67" s="164"/>
      <c r="S67" s="164"/>
      <c r="T67" s="164"/>
      <c r="U67" s="164"/>
      <c r="V67" s="164"/>
      <c r="W67" s="164"/>
      <c r="X67" s="164"/>
      <c r="Y67" s="164"/>
      <c r="Z67" s="164"/>
      <c r="AA67" s="164"/>
      <c r="AB67" s="164"/>
      <c r="AC67" s="164"/>
      <c r="AD67" s="164"/>
      <c r="AE67" s="164"/>
    </row>
    <row r="68" spans="1:31" ht="23.25">
      <c r="A68" s="206" t="s">
        <v>353</v>
      </c>
      <c r="B68" s="217"/>
      <c r="C68" s="152"/>
      <c r="D68" s="152"/>
      <c r="E68" s="152"/>
      <c r="F68" s="152"/>
      <c r="G68" s="152"/>
      <c r="H68" s="152"/>
      <c r="I68" s="152"/>
      <c r="J68" s="152"/>
      <c r="K68" s="152"/>
      <c r="L68" s="152"/>
      <c r="M68" s="152"/>
      <c r="N68" s="152"/>
      <c r="O68" s="152"/>
      <c r="P68" s="210"/>
      <c r="Q68" s="211"/>
      <c r="R68" s="164"/>
      <c r="S68" s="164"/>
      <c r="T68" s="164"/>
      <c r="U68" s="164"/>
      <c r="V68" s="164"/>
      <c r="W68" s="164"/>
      <c r="X68" s="164"/>
      <c r="Y68" s="164"/>
      <c r="Z68" s="164"/>
      <c r="AA68" s="164"/>
      <c r="AB68" s="164"/>
      <c r="AC68" s="164"/>
      <c r="AD68" s="164"/>
      <c r="AE68" s="164"/>
    </row>
    <row r="69" spans="1:31" ht="25.5">
      <c r="A69" s="152"/>
      <c r="B69" s="218"/>
      <c r="C69" s="219"/>
      <c r="D69" s="219"/>
      <c r="E69" s="219"/>
      <c r="F69" s="219"/>
      <c r="G69" s="219"/>
      <c r="H69" s="152"/>
      <c r="I69" s="152"/>
      <c r="J69" s="152"/>
      <c r="K69" s="152"/>
      <c r="L69" s="152"/>
      <c r="M69" s="152"/>
      <c r="N69" s="152"/>
      <c r="O69" s="152"/>
      <c r="P69" s="210"/>
      <c r="Q69" s="211"/>
      <c r="R69" s="164"/>
      <c r="S69" s="164"/>
      <c r="T69" s="164"/>
      <c r="U69" s="164"/>
      <c r="V69" s="164"/>
      <c r="W69" s="164"/>
      <c r="X69" s="164"/>
      <c r="Y69" s="164"/>
      <c r="Z69" s="164"/>
      <c r="AA69" s="164"/>
      <c r="AB69" s="164"/>
      <c r="AC69" s="164"/>
      <c r="AD69" s="164"/>
      <c r="AE69" s="164"/>
    </row>
    <row r="70" spans="1:31" ht="15.75">
      <c r="A70" s="152"/>
      <c r="B70" s="509" t="s">
        <v>228</v>
      </c>
      <c r="C70" s="510">
        <f aca="true" t="shared" si="35" ref="C70:N70">D40</f>
        <v>0</v>
      </c>
      <c r="D70" s="511">
        <f t="shared" si="35"/>
        <v>0</v>
      </c>
      <c r="E70" s="511">
        <f t="shared" si="35"/>
        <v>0</v>
      </c>
      <c r="F70" s="511">
        <f t="shared" si="35"/>
        <v>0</v>
      </c>
      <c r="G70" s="511">
        <f t="shared" si="35"/>
        <v>0</v>
      </c>
      <c r="H70" s="511">
        <f t="shared" si="35"/>
        <v>0</v>
      </c>
      <c r="I70" s="511">
        <f t="shared" si="35"/>
        <v>0</v>
      </c>
      <c r="J70" s="511">
        <f t="shared" si="35"/>
        <v>0</v>
      </c>
      <c r="K70" s="511">
        <f t="shared" si="35"/>
        <v>0</v>
      </c>
      <c r="L70" s="511">
        <f t="shared" si="35"/>
        <v>0</v>
      </c>
      <c r="M70" s="511">
        <f t="shared" si="35"/>
        <v>0</v>
      </c>
      <c r="N70" s="511">
        <f t="shared" si="35"/>
        <v>0</v>
      </c>
      <c r="O70" s="512" t="s">
        <v>229</v>
      </c>
      <c r="P70" s="210"/>
      <c r="Q70" s="211"/>
      <c r="R70" s="164"/>
      <c r="S70" s="164"/>
      <c r="T70" s="164"/>
      <c r="U70" s="164"/>
      <c r="V70" s="164"/>
      <c r="W70" s="164"/>
      <c r="X70" s="164"/>
      <c r="Y70" s="164"/>
      <c r="Z70" s="164"/>
      <c r="AA70" s="164"/>
      <c r="AB70" s="164"/>
      <c r="AC70" s="164"/>
      <c r="AD70" s="164"/>
      <c r="AE70" s="164"/>
    </row>
    <row r="71" spans="1:31" ht="66" customHeight="1">
      <c r="A71" s="220"/>
      <c r="B71" s="516" t="s">
        <v>234</v>
      </c>
      <c r="C71" s="520"/>
      <c r="D71" s="521"/>
      <c r="E71" s="521"/>
      <c r="F71" s="521"/>
      <c r="G71" s="521"/>
      <c r="H71" s="521"/>
      <c r="I71" s="521"/>
      <c r="J71" s="521"/>
      <c r="K71" s="521"/>
      <c r="L71" s="521"/>
      <c r="M71" s="521"/>
      <c r="N71" s="521"/>
      <c r="O71" s="522">
        <f>SUM(C71:N71)</f>
        <v>0</v>
      </c>
      <c r="P71" s="210"/>
      <c r="Q71" s="211"/>
      <c r="R71" s="164"/>
      <c r="S71" s="164"/>
      <c r="T71" s="164"/>
      <c r="U71" s="164"/>
      <c r="V71" s="164"/>
      <c r="W71" s="164"/>
      <c r="X71" s="164"/>
      <c r="Y71" s="164"/>
      <c r="Z71" s="164"/>
      <c r="AA71" s="164"/>
      <c r="AB71" s="164"/>
      <c r="AC71" s="164"/>
      <c r="AD71" s="164"/>
      <c r="AE71" s="164"/>
    </row>
    <row r="72" spans="1:31" ht="31.5">
      <c r="A72" s="220"/>
      <c r="B72" s="517" t="s">
        <v>241</v>
      </c>
      <c r="C72" s="520"/>
      <c r="D72" s="521"/>
      <c r="E72" s="521"/>
      <c r="F72" s="521"/>
      <c r="G72" s="521"/>
      <c r="H72" s="521"/>
      <c r="I72" s="521"/>
      <c r="J72" s="521"/>
      <c r="K72" s="521"/>
      <c r="L72" s="521"/>
      <c r="M72" s="521"/>
      <c r="N72" s="521"/>
      <c r="O72" s="522">
        <f>SUM(C72:N72)</f>
        <v>0</v>
      </c>
      <c r="P72" s="210"/>
      <c r="Q72" s="211"/>
      <c r="R72" s="164"/>
      <c r="S72" s="164"/>
      <c r="T72" s="164"/>
      <c r="U72" s="164"/>
      <c r="V72" s="164"/>
      <c r="W72" s="164"/>
      <c r="X72" s="164"/>
      <c r="Y72" s="164"/>
      <c r="Z72" s="164"/>
      <c r="AA72" s="164"/>
      <c r="AB72" s="164"/>
      <c r="AC72" s="164"/>
      <c r="AD72" s="164"/>
      <c r="AE72" s="164"/>
    </row>
    <row r="73" spans="1:31" ht="34.5" customHeight="1">
      <c r="A73" s="220"/>
      <c r="B73" s="517" t="s">
        <v>235</v>
      </c>
      <c r="C73" s="520"/>
      <c r="D73" s="521"/>
      <c r="E73" s="521"/>
      <c r="F73" s="521"/>
      <c r="G73" s="521"/>
      <c r="H73" s="521"/>
      <c r="I73" s="521"/>
      <c r="J73" s="521"/>
      <c r="K73" s="521"/>
      <c r="L73" s="521"/>
      <c r="M73" s="521"/>
      <c r="N73" s="521"/>
      <c r="O73" s="522">
        <f>SUM(C73:N73)</f>
        <v>0</v>
      </c>
      <c r="P73" s="164"/>
      <c r="Q73" s="164"/>
      <c r="R73" s="164"/>
      <c r="S73" s="164"/>
      <c r="T73" s="164"/>
      <c r="U73" s="164"/>
      <c r="V73" s="164"/>
      <c r="W73" s="164"/>
      <c r="X73" s="164"/>
      <c r="Y73" s="164"/>
      <c r="Z73" s="164"/>
      <c r="AA73" s="164"/>
      <c r="AB73" s="164"/>
      <c r="AC73" s="164"/>
      <c r="AD73" s="164"/>
      <c r="AE73" s="164"/>
    </row>
    <row r="74" spans="1:31" ht="15.75">
      <c r="A74" s="152"/>
      <c r="B74" s="518" t="s">
        <v>236</v>
      </c>
      <c r="C74" s="523">
        <f aca="true" t="shared" si="36" ref="C74:O74">SUM(C71:C73)</f>
        <v>0</v>
      </c>
      <c r="D74" s="523">
        <f t="shared" si="36"/>
        <v>0</v>
      </c>
      <c r="E74" s="523">
        <f t="shared" si="36"/>
        <v>0</v>
      </c>
      <c r="F74" s="523">
        <f t="shared" si="36"/>
        <v>0</v>
      </c>
      <c r="G74" s="523">
        <f t="shared" si="36"/>
        <v>0</v>
      </c>
      <c r="H74" s="523">
        <f t="shared" si="36"/>
        <v>0</v>
      </c>
      <c r="I74" s="523">
        <f t="shared" si="36"/>
        <v>0</v>
      </c>
      <c r="J74" s="523">
        <f t="shared" si="36"/>
        <v>0</v>
      </c>
      <c r="K74" s="523">
        <f t="shared" si="36"/>
        <v>0</v>
      </c>
      <c r="L74" s="523">
        <f t="shared" si="36"/>
        <v>0</v>
      </c>
      <c r="M74" s="523">
        <f t="shared" si="36"/>
        <v>0</v>
      </c>
      <c r="N74" s="523">
        <f t="shared" si="36"/>
        <v>0</v>
      </c>
      <c r="O74" s="523">
        <f t="shared" si="36"/>
        <v>0</v>
      </c>
      <c r="P74" s="164"/>
      <c r="Q74" s="164"/>
      <c r="R74" s="164"/>
      <c r="S74" s="164"/>
      <c r="T74" s="164"/>
      <c r="U74" s="164"/>
      <c r="V74" s="164"/>
      <c r="W74" s="164"/>
      <c r="X74" s="164"/>
      <c r="Y74" s="164"/>
      <c r="Z74" s="164"/>
      <c r="AA74" s="164"/>
      <c r="AB74" s="164"/>
      <c r="AC74" s="164"/>
      <c r="AD74" s="164"/>
      <c r="AE74" s="164"/>
    </row>
    <row r="75" spans="1:31" ht="25.5" customHeight="1">
      <c r="A75" s="152"/>
      <c r="B75" s="152"/>
      <c r="C75" s="152"/>
      <c r="D75" s="152"/>
      <c r="E75" s="152"/>
      <c r="F75" s="152"/>
      <c r="G75" s="152"/>
      <c r="H75" s="152"/>
      <c r="I75" s="152"/>
      <c r="J75" s="152"/>
      <c r="K75" s="152"/>
      <c r="L75" s="152"/>
      <c r="M75" s="152"/>
      <c r="N75" s="152"/>
      <c r="O75" s="152"/>
      <c r="P75" s="202" t="s">
        <v>1066</v>
      </c>
      <c r="Q75" s="164"/>
      <c r="R75" s="164"/>
      <c r="S75" s="164"/>
      <c r="T75" s="164"/>
      <c r="U75" s="164"/>
      <c r="V75" s="164"/>
      <c r="W75" s="164"/>
      <c r="X75" s="164"/>
      <c r="Y75" s="164"/>
      <c r="Z75" s="164"/>
      <c r="AA75" s="164"/>
      <c r="AB75" s="164"/>
      <c r="AC75" s="164"/>
      <c r="AD75" s="164"/>
      <c r="AE75" s="164"/>
    </row>
    <row r="76" spans="1:31" ht="15.75">
      <c r="A76" s="152"/>
      <c r="B76" s="176" t="s">
        <v>237</v>
      </c>
      <c r="C76" s="176"/>
      <c r="D76" s="176"/>
      <c r="E76" s="176"/>
      <c r="F76" s="176"/>
      <c r="G76" s="152"/>
      <c r="H76" s="152"/>
      <c r="I76" s="152"/>
      <c r="J76" s="152"/>
      <c r="K76" s="152"/>
      <c r="L76" s="152"/>
      <c r="M76" s="152"/>
      <c r="N76" s="152"/>
      <c r="O76" s="152"/>
      <c r="P76" s="221" t="s">
        <v>1085</v>
      </c>
      <c r="Q76" s="222">
        <f aca="true" t="shared" si="37" ref="Q76:AB76">D40</f>
        <v>0</v>
      </c>
      <c r="R76" s="222">
        <f t="shared" si="37"/>
        <v>0</v>
      </c>
      <c r="S76" s="222">
        <f t="shared" si="37"/>
        <v>0</v>
      </c>
      <c r="T76" s="222">
        <f t="shared" si="37"/>
        <v>0</v>
      </c>
      <c r="U76" s="222">
        <f t="shared" si="37"/>
        <v>0</v>
      </c>
      <c r="V76" s="222">
        <f t="shared" si="37"/>
        <v>0</v>
      </c>
      <c r="W76" s="222">
        <f t="shared" si="37"/>
        <v>0</v>
      </c>
      <c r="X76" s="222">
        <f t="shared" si="37"/>
        <v>0</v>
      </c>
      <c r="Y76" s="222">
        <f t="shared" si="37"/>
        <v>0</v>
      </c>
      <c r="Z76" s="222">
        <f t="shared" si="37"/>
        <v>0</v>
      </c>
      <c r="AA76" s="222">
        <f t="shared" si="37"/>
        <v>0</v>
      </c>
      <c r="AB76" s="222">
        <f t="shared" si="37"/>
        <v>0</v>
      </c>
      <c r="AC76" s="223" t="s">
        <v>226</v>
      </c>
      <c r="AD76" s="164"/>
      <c r="AE76" s="164"/>
    </row>
    <row r="77" spans="1:31" ht="15.75">
      <c r="A77" s="152"/>
      <c r="B77" s="176"/>
      <c r="C77" s="176" t="s">
        <v>238</v>
      </c>
      <c r="D77" s="524"/>
      <c r="E77" s="525"/>
      <c r="F77" s="526"/>
      <c r="G77" s="152"/>
      <c r="H77" s="152"/>
      <c r="I77" s="152"/>
      <c r="J77" s="152"/>
      <c r="K77" s="152"/>
      <c r="L77" s="152"/>
      <c r="M77" s="152"/>
      <c r="N77" s="152"/>
      <c r="O77" s="152"/>
      <c r="P77" s="167" t="str">
        <f aca="true" t="shared" si="38" ref="P77:P93">B42</f>
        <v>Paddy Rice #1</v>
      </c>
      <c r="Q77" s="188">
        <f aca="true" t="shared" si="39" ref="Q77:V86">R47-R205</f>
        <v>0</v>
      </c>
      <c r="R77" s="224">
        <f t="shared" si="39"/>
        <v>0</v>
      </c>
      <c r="S77" s="224">
        <f t="shared" si="39"/>
        <v>0</v>
      </c>
      <c r="T77" s="224">
        <f t="shared" si="39"/>
        <v>0</v>
      </c>
      <c r="U77" s="224">
        <f t="shared" si="39"/>
        <v>0</v>
      </c>
      <c r="V77" s="224">
        <f t="shared" si="39"/>
        <v>0</v>
      </c>
      <c r="W77" s="224">
        <f aca="true" t="shared" si="40" ref="W77:AB86">X47-X205</f>
        <v>0</v>
      </c>
      <c r="X77" s="224">
        <f t="shared" si="40"/>
        <v>0</v>
      </c>
      <c r="Y77" s="224">
        <f t="shared" si="40"/>
        <v>0</v>
      </c>
      <c r="Z77" s="224">
        <f t="shared" si="40"/>
        <v>0</v>
      </c>
      <c r="AA77" s="224">
        <f t="shared" si="40"/>
        <v>0</v>
      </c>
      <c r="AB77" s="224">
        <f t="shared" si="40"/>
        <v>0</v>
      </c>
      <c r="AC77" s="224">
        <f>SUM(Q77:AB77)</f>
        <v>0</v>
      </c>
      <c r="AD77" s="164"/>
      <c r="AE77" s="164"/>
    </row>
    <row r="78" spans="1:31" ht="15.75">
      <c r="A78" s="152"/>
      <c r="B78" s="176"/>
      <c r="C78" s="176" t="s">
        <v>239</v>
      </c>
      <c r="D78" s="524"/>
      <c r="E78" s="525"/>
      <c r="F78" s="526"/>
      <c r="G78" s="152"/>
      <c r="H78" s="152"/>
      <c r="I78" s="152"/>
      <c r="J78" s="152"/>
      <c r="K78" s="152"/>
      <c r="L78" s="152"/>
      <c r="M78" s="152"/>
      <c r="N78" s="152"/>
      <c r="O78" s="152"/>
      <c r="P78" s="167" t="str">
        <f t="shared" si="38"/>
        <v>Paddy Rice #2</v>
      </c>
      <c r="Q78" s="188">
        <f t="shared" si="39"/>
        <v>0</v>
      </c>
      <c r="R78" s="224">
        <f t="shared" si="39"/>
        <v>0</v>
      </c>
      <c r="S78" s="224">
        <f t="shared" si="39"/>
        <v>0</v>
      </c>
      <c r="T78" s="224">
        <f t="shared" si="39"/>
        <v>0</v>
      </c>
      <c r="U78" s="224">
        <f t="shared" si="39"/>
        <v>0</v>
      </c>
      <c r="V78" s="224">
        <f t="shared" si="39"/>
        <v>0</v>
      </c>
      <c r="W78" s="224">
        <f t="shared" si="40"/>
        <v>0</v>
      </c>
      <c r="X78" s="224">
        <f t="shared" si="40"/>
        <v>0</v>
      </c>
      <c r="Y78" s="224">
        <f t="shared" si="40"/>
        <v>0</v>
      </c>
      <c r="Z78" s="224">
        <f t="shared" si="40"/>
        <v>0</v>
      </c>
      <c r="AA78" s="224">
        <f t="shared" si="40"/>
        <v>0</v>
      </c>
      <c r="AB78" s="224">
        <f t="shared" si="40"/>
        <v>0</v>
      </c>
      <c r="AC78" s="224">
        <f aca="true" t="shared" si="41" ref="AC78:AC93">SUM(Q78:AB78)</f>
        <v>0</v>
      </c>
      <c r="AD78" s="164"/>
      <c r="AE78" s="164"/>
    </row>
    <row r="79" spans="1:31" ht="15.75">
      <c r="A79" s="152"/>
      <c r="B79" s="152"/>
      <c r="C79" s="152"/>
      <c r="D79" s="152"/>
      <c r="E79" s="152"/>
      <c r="F79" s="152"/>
      <c r="G79" s="152"/>
      <c r="H79" s="152"/>
      <c r="I79" s="152"/>
      <c r="J79" s="152"/>
      <c r="K79" s="152"/>
      <c r="L79" s="152"/>
      <c r="M79" s="152"/>
      <c r="N79" s="152"/>
      <c r="O79" s="152"/>
      <c r="P79" s="167" t="str">
        <f t="shared" si="38"/>
        <v>Paddy Rice #3</v>
      </c>
      <c r="Q79" s="188">
        <f t="shared" si="39"/>
        <v>0</v>
      </c>
      <c r="R79" s="224">
        <f t="shared" si="39"/>
        <v>0</v>
      </c>
      <c r="S79" s="224">
        <f t="shared" si="39"/>
        <v>0</v>
      </c>
      <c r="T79" s="224">
        <f t="shared" si="39"/>
        <v>0</v>
      </c>
      <c r="U79" s="224">
        <f t="shared" si="39"/>
        <v>0</v>
      </c>
      <c r="V79" s="224">
        <f t="shared" si="39"/>
        <v>0</v>
      </c>
      <c r="W79" s="224">
        <f t="shared" si="40"/>
        <v>0</v>
      </c>
      <c r="X79" s="224">
        <f t="shared" si="40"/>
        <v>0</v>
      </c>
      <c r="Y79" s="224">
        <f t="shared" si="40"/>
        <v>0</v>
      </c>
      <c r="Z79" s="224">
        <f t="shared" si="40"/>
        <v>0</v>
      </c>
      <c r="AA79" s="224">
        <f t="shared" si="40"/>
        <v>0</v>
      </c>
      <c r="AB79" s="224">
        <f t="shared" si="40"/>
        <v>0</v>
      </c>
      <c r="AC79" s="224">
        <f t="shared" si="41"/>
        <v>0</v>
      </c>
      <c r="AD79" s="164"/>
      <c r="AE79" s="164"/>
    </row>
    <row r="80" spans="1:31" ht="42" customHeight="1">
      <c r="A80" s="206" t="s">
        <v>354</v>
      </c>
      <c r="B80" s="217"/>
      <c r="C80" s="152"/>
      <c r="D80" s="152"/>
      <c r="E80" s="152"/>
      <c r="F80" s="152"/>
      <c r="G80" s="152"/>
      <c r="H80" s="152"/>
      <c r="I80" s="152"/>
      <c r="J80" s="152"/>
      <c r="K80" s="152"/>
      <c r="L80" s="152"/>
      <c r="M80" s="152"/>
      <c r="N80" s="152"/>
      <c r="O80" s="152"/>
      <c r="P80" s="167">
        <f t="shared" si="38"/>
        <v>0</v>
      </c>
      <c r="Q80" s="188">
        <f t="shared" si="39"/>
        <v>0</v>
      </c>
      <c r="R80" s="224">
        <f t="shared" si="39"/>
        <v>0</v>
      </c>
      <c r="S80" s="224">
        <f t="shared" si="39"/>
        <v>0</v>
      </c>
      <c r="T80" s="224">
        <f t="shared" si="39"/>
        <v>0</v>
      </c>
      <c r="U80" s="224">
        <f t="shared" si="39"/>
        <v>0</v>
      </c>
      <c r="V80" s="224">
        <f t="shared" si="39"/>
        <v>0</v>
      </c>
      <c r="W80" s="224">
        <f t="shared" si="40"/>
        <v>0</v>
      </c>
      <c r="X80" s="224">
        <f t="shared" si="40"/>
        <v>0</v>
      </c>
      <c r="Y80" s="224">
        <f t="shared" si="40"/>
        <v>0</v>
      </c>
      <c r="Z80" s="224">
        <f t="shared" si="40"/>
        <v>0</v>
      </c>
      <c r="AA80" s="224">
        <f t="shared" si="40"/>
        <v>0</v>
      </c>
      <c r="AB80" s="224">
        <f t="shared" si="40"/>
        <v>0</v>
      </c>
      <c r="AC80" s="224">
        <f t="shared" si="41"/>
        <v>0</v>
      </c>
      <c r="AD80" s="164"/>
      <c r="AE80" s="164"/>
    </row>
    <row r="81" spans="1:31" ht="15.75">
      <c r="A81" s="152"/>
      <c r="B81" s="527" t="s">
        <v>273</v>
      </c>
      <c r="C81" s="219"/>
      <c r="D81" s="219"/>
      <c r="E81" s="219"/>
      <c r="F81" s="219"/>
      <c r="G81" s="219"/>
      <c r="H81" s="152"/>
      <c r="I81" s="152"/>
      <c r="J81" s="152"/>
      <c r="K81" s="152"/>
      <c r="L81" s="152"/>
      <c r="M81" s="152"/>
      <c r="N81" s="152"/>
      <c r="O81" s="152"/>
      <c r="P81" s="167">
        <f t="shared" si="38"/>
        <v>0</v>
      </c>
      <c r="Q81" s="188">
        <f t="shared" si="39"/>
        <v>0</v>
      </c>
      <c r="R81" s="224">
        <f t="shared" si="39"/>
        <v>0</v>
      </c>
      <c r="S81" s="224">
        <f t="shared" si="39"/>
        <v>0</v>
      </c>
      <c r="T81" s="224">
        <f t="shared" si="39"/>
        <v>0</v>
      </c>
      <c r="U81" s="224">
        <f t="shared" si="39"/>
        <v>0</v>
      </c>
      <c r="V81" s="224">
        <f t="shared" si="39"/>
        <v>0</v>
      </c>
      <c r="W81" s="224">
        <f t="shared" si="40"/>
        <v>0</v>
      </c>
      <c r="X81" s="224">
        <f t="shared" si="40"/>
        <v>0</v>
      </c>
      <c r="Y81" s="224">
        <f t="shared" si="40"/>
        <v>0</v>
      </c>
      <c r="Z81" s="224">
        <f t="shared" si="40"/>
        <v>0</v>
      </c>
      <c r="AA81" s="224">
        <f t="shared" si="40"/>
        <v>0</v>
      </c>
      <c r="AB81" s="224">
        <f t="shared" si="40"/>
        <v>0</v>
      </c>
      <c r="AC81" s="224">
        <f t="shared" si="41"/>
        <v>0</v>
      </c>
      <c r="AD81" s="164"/>
      <c r="AE81" s="164"/>
    </row>
    <row r="82" spans="1:31" ht="15.75">
      <c r="A82" s="152"/>
      <c r="B82" s="509" t="s">
        <v>228</v>
      </c>
      <c r="C82" s="510">
        <f aca="true" t="shared" si="42" ref="C82:N82">D40</f>
        <v>0</v>
      </c>
      <c r="D82" s="511">
        <f t="shared" si="42"/>
        <v>0</v>
      </c>
      <c r="E82" s="511">
        <f t="shared" si="42"/>
        <v>0</v>
      </c>
      <c r="F82" s="511">
        <f t="shared" si="42"/>
        <v>0</v>
      </c>
      <c r="G82" s="511">
        <f t="shared" si="42"/>
        <v>0</v>
      </c>
      <c r="H82" s="511">
        <f t="shared" si="42"/>
        <v>0</v>
      </c>
      <c r="I82" s="511">
        <f t="shared" si="42"/>
        <v>0</v>
      </c>
      <c r="J82" s="511">
        <f t="shared" si="42"/>
        <v>0</v>
      </c>
      <c r="K82" s="511">
        <f t="shared" si="42"/>
        <v>0</v>
      </c>
      <c r="L82" s="511">
        <f t="shared" si="42"/>
        <v>0</v>
      </c>
      <c r="M82" s="511">
        <f t="shared" si="42"/>
        <v>0</v>
      </c>
      <c r="N82" s="511">
        <f t="shared" si="42"/>
        <v>0</v>
      </c>
      <c r="O82" s="512" t="s">
        <v>229</v>
      </c>
      <c r="P82" s="167">
        <f t="shared" si="38"/>
        <v>0</v>
      </c>
      <c r="Q82" s="188">
        <f t="shared" si="39"/>
        <v>0</v>
      </c>
      <c r="R82" s="224">
        <f t="shared" si="39"/>
        <v>0</v>
      </c>
      <c r="S82" s="224">
        <f t="shared" si="39"/>
        <v>0</v>
      </c>
      <c r="T82" s="224">
        <f t="shared" si="39"/>
        <v>0</v>
      </c>
      <c r="U82" s="224">
        <f t="shared" si="39"/>
        <v>0</v>
      </c>
      <c r="V82" s="224">
        <f t="shared" si="39"/>
        <v>0</v>
      </c>
      <c r="W82" s="224">
        <f t="shared" si="40"/>
        <v>0</v>
      </c>
      <c r="X82" s="224">
        <f t="shared" si="40"/>
        <v>0</v>
      </c>
      <c r="Y82" s="224">
        <f t="shared" si="40"/>
        <v>0</v>
      </c>
      <c r="Z82" s="224">
        <f t="shared" si="40"/>
        <v>0</v>
      </c>
      <c r="AA82" s="224">
        <f t="shared" si="40"/>
        <v>0</v>
      </c>
      <c r="AB82" s="224">
        <f t="shared" si="40"/>
        <v>0</v>
      </c>
      <c r="AC82" s="224">
        <f t="shared" si="41"/>
        <v>0</v>
      </c>
      <c r="AD82" s="164"/>
      <c r="AE82" s="164"/>
    </row>
    <row r="83" spans="1:31" ht="31.5">
      <c r="A83" s="152"/>
      <c r="B83" s="528" t="s">
        <v>274</v>
      </c>
      <c r="C83" s="225"/>
      <c r="D83" s="226"/>
      <c r="E83" s="226"/>
      <c r="F83" s="226"/>
      <c r="G83" s="226"/>
      <c r="H83" s="226"/>
      <c r="I83" s="226"/>
      <c r="J83" s="226"/>
      <c r="K83" s="226"/>
      <c r="L83" s="226"/>
      <c r="M83" s="226"/>
      <c r="N83" s="226"/>
      <c r="O83" s="529">
        <f>SUM(C83:N83)</f>
        <v>0</v>
      </c>
      <c r="P83" s="167">
        <f t="shared" si="38"/>
        <v>0</v>
      </c>
      <c r="Q83" s="188">
        <f t="shared" si="39"/>
        <v>0</v>
      </c>
      <c r="R83" s="224">
        <f t="shared" si="39"/>
        <v>0</v>
      </c>
      <c r="S83" s="224">
        <f t="shared" si="39"/>
        <v>0</v>
      </c>
      <c r="T83" s="224">
        <f t="shared" si="39"/>
        <v>0</v>
      </c>
      <c r="U83" s="224">
        <f t="shared" si="39"/>
        <v>0</v>
      </c>
      <c r="V83" s="224">
        <f t="shared" si="39"/>
        <v>0</v>
      </c>
      <c r="W83" s="224">
        <f t="shared" si="40"/>
        <v>0</v>
      </c>
      <c r="X83" s="224">
        <f t="shared" si="40"/>
        <v>0</v>
      </c>
      <c r="Y83" s="224">
        <f t="shared" si="40"/>
        <v>0</v>
      </c>
      <c r="Z83" s="224">
        <f t="shared" si="40"/>
        <v>0</v>
      </c>
      <c r="AA83" s="224">
        <f t="shared" si="40"/>
        <v>0</v>
      </c>
      <c r="AB83" s="224">
        <f t="shared" si="40"/>
        <v>0</v>
      </c>
      <c r="AC83" s="224">
        <f t="shared" si="41"/>
        <v>0</v>
      </c>
      <c r="AD83" s="164"/>
      <c r="AE83" s="164"/>
    </row>
    <row r="84" spans="1:31" ht="40.5" customHeight="1">
      <c r="A84" s="152"/>
      <c r="B84" s="518" t="s">
        <v>275</v>
      </c>
      <c r="C84" s="225"/>
      <c r="D84" s="227"/>
      <c r="E84" s="227"/>
      <c r="F84" s="227"/>
      <c r="G84" s="227"/>
      <c r="H84" s="227"/>
      <c r="I84" s="227"/>
      <c r="J84" s="227"/>
      <c r="K84" s="227"/>
      <c r="L84" s="227"/>
      <c r="M84" s="227"/>
      <c r="N84" s="227"/>
      <c r="O84" s="529">
        <f>SUM(C84:N84)</f>
        <v>0</v>
      </c>
      <c r="P84" s="167">
        <f t="shared" si="38"/>
        <v>0</v>
      </c>
      <c r="Q84" s="188">
        <f t="shared" si="39"/>
        <v>0</v>
      </c>
      <c r="R84" s="224">
        <f t="shared" si="39"/>
        <v>0</v>
      </c>
      <c r="S84" s="224">
        <f t="shared" si="39"/>
        <v>0</v>
      </c>
      <c r="T84" s="224">
        <f t="shared" si="39"/>
        <v>0</v>
      </c>
      <c r="U84" s="224">
        <f t="shared" si="39"/>
        <v>0</v>
      </c>
      <c r="V84" s="224">
        <f t="shared" si="39"/>
        <v>0</v>
      </c>
      <c r="W84" s="224">
        <f t="shared" si="40"/>
        <v>0</v>
      </c>
      <c r="X84" s="224">
        <f t="shared" si="40"/>
        <v>0</v>
      </c>
      <c r="Y84" s="224">
        <f t="shared" si="40"/>
        <v>0</v>
      </c>
      <c r="Z84" s="224">
        <f t="shared" si="40"/>
        <v>0</v>
      </c>
      <c r="AA84" s="224">
        <f t="shared" si="40"/>
        <v>0</v>
      </c>
      <c r="AB84" s="224">
        <f t="shared" si="40"/>
        <v>0</v>
      </c>
      <c r="AC84" s="224">
        <f t="shared" si="41"/>
        <v>0</v>
      </c>
      <c r="AD84" s="164"/>
      <c r="AE84" s="210"/>
    </row>
    <row r="85" spans="1:31" ht="15.75">
      <c r="A85" s="152"/>
      <c r="B85" s="518" t="s">
        <v>276</v>
      </c>
      <c r="C85" s="519">
        <f aca="true" t="shared" si="43" ref="C85:O85">SUM(C83:C84)</f>
        <v>0</v>
      </c>
      <c r="D85" s="519">
        <f t="shared" si="43"/>
        <v>0</v>
      </c>
      <c r="E85" s="519">
        <f t="shared" si="43"/>
        <v>0</v>
      </c>
      <c r="F85" s="519">
        <f t="shared" si="43"/>
        <v>0</v>
      </c>
      <c r="G85" s="519">
        <f t="shared" si="43"/>
        <v>0</v>
      </c>
      <c r="H85" s="519">
        <f t="shared" si="43"/>
        <v>0</v>
      </c>
      <c r="I85" s="519">
        <f t="shared" si="43"/>
        <v>0</v>
      </c>
      <c r="J85" s="519">
        <f t="shared" si="43"/>
        <v>0</v>
      </c>
      <c r="K85" s="519">
        <f t="shared" si="43"/>
        <v>0</v>
      </c>
      <c r="L85" s="519">
        <f t="shared" si="43"/>
        <v>0</v>
      </c>
      <c r="M85" s="519">
        <f t="shared" si="43"/>
        <v>0</v>
      </c>
      <c r="N85" s="519">
        <f t="shared" si="43"/>
        <v>0</v>
      </c>
      <c r="O85" s="519">
        <f t="shared" si="43"/>
        <v>0</v>
      </c>
      <c r="P85" s="167">
        <f t="shared" si="38"/>
        <v>0</v>
      </c>
      <c r="Q85" s="188">
        <f t="shared" si="39"/>
        <v>0</v>
      </c>
      <c r="R85" s="224">
        <f t="shared" si="39"/>
        <v>0</v>
      </c>
      <c r="S85" s="224">
        <f t="shared" si="39"/>
        <v>0</v>
      </c>
      <c r="T85" s="224">
        <f t="shared" si="39"/>
        <v>0</v>
      </c>
      <c r="U85" s="224">
        <f t="shared" si="39"/>
        <v>0</v>
      </c>
      <c r="V85" s="224">
        <f t="shared" si="39"/>
        <v>0</v>
      </c>
      <c r="W85" s="224">
        <f t="shared" si="40"/>
        <v>0</v>
      </c>
      <c r="X85" s="224">
        <f t="shared" si="40"/>
        <v>0</v>
      </c>
      <c r="Y85" s="224">
        <f t="shared" si="40"/>
        <v>0</v>
      </c>
      <c r="Z85" s="224">
        <f t="shared" si="40"/>
        <v>0</v>
      </c>
      <c r="AA85" s="224">
        <f t="shared" si="40"/>
        <v>0</v>
      </c>
      <c r="AB85" s="224">
        <f t="shared" si="40"/>
        <v>0</v>
      </c>
      <c r="AC85" s="224">
        <f t="shared" si="41"/>
        <v>0</v>
      </c>
      <c r="AD85" s="210"/>
      <c r="AE85" s="210"/>
    </row>
    <row r="86" spans="1:31" ht="24.75" customHeight="1">
      <c r="A86" s="152"/>
      <c r="B86" s="228"/>
      <c r="C86" s="229"/>
      <c r="D86" s="229"/>
      <c r="E86" s="229"/>
      <c r="F86" s="229"/>
      <c r="G86" s="229"/>
      <c r="H86" s="229"/>
      <c r="I86" s="229"/>
      <c r="J86" s="229"/>
      <c r="K86" s="229"/>
      <c r="L86" s="229"/>
      <c r="M86" s="229"/>
      <c r="N86" s="229"/>
      <c r="O86" s="229"/>
      <c r="P86" s="167">
        <f t="shared" si="38"/>
        <v>0</v>
      </c>
      <c r="Q86" s="188">
        <f t="shared" si="39"/>
        <v>0</v>
      </c>
      <c r="R86" s="224">
        <f t="shared" si="39"/>
        <v>0</v>
      </c>
      <c r="S86" s="224">
        <f t="shared" si="39"/>
        <v>0</v>
      </c>
      <c r="T86" s="224">
        <f t="shared" si="39"/>
        <v>0</v>
      </c>
      <c r="U86" s="224">
        <f t="shared" si="39"/>
        <v>0</v>
      </c>
      <c r="V86" s="224">
        <f t="shared" si="39"/>
        <v>0</v>
      </c>
      <c r="W86" s="224">
        <f t="shared" si="40"/>
        <v>0</v>
      </c>
      <c r="X86" s="224">
        <f t="shared" si="40"/>
        <v>0</v>
      </c>
      <c r="Y86" s="224">
        <f t="shared" si="40"/>
        <v>0</v>
      </c>
      <c r="Z86" s="224">
        <f t="shared" si="40"/>
        <v>0</v>
      </c>
      <c r="AA86" s="224">
        <f t="shared" si="40"/>
        <v>0</v>
      </c>
      <c r="AB86" s="224">
        <f t="shared" si="40"/>
        <v>0</v>
      </c>
      <c r="AC86" s="224">
        <f t="shared" si="41"/>
        <v>0</v>
      </c>
      <c r="AD86" s="210"/>
      <c r="AE86" s="210"/>
    </row>
    <row r="87" spans="1:31" ht="15.75">
      <c r="A87" s="152"/>
      <c r="B87" s="228"/>
      <c r="C87" s="229"/>
      <c r="D87" s="229"/>
      <c r="E87" s="229"/>
      <c r="F87" s="229"/>
      <c r="G87" s="229"/>
      <c r="H87" s="229"/>
      <c r="I87" s="229"/>
      <c r="J87" s="229"/>
      <c r="K87" s="229"/>
      <c r="L87" s="229"/>
      <c r="M87" s="229"/>
      <c r="N87" s="229"/>
      <c r="O87" s="229"/>
      <c r="P87" s="167">
        <f t="shared" si="38"/>
        <v>0</v>
      </c>
      <c r="Q87" s="188">
        <f aca="true" t="shared" si="44" ref="Q87:V93">R57-R215</f>
        <v>0</v>
      </c>
      <c r="R87" s="224">
        <f t="shared" si="44"/>
        <v>0</v>
      </c>
      <c r="S87" s="224">
        <f t="shared" si="44"/>
        <v>0</v>
      </c>
      <c r="T87" s="224">
        <f t="shared" si="44"/>
        <v>0</v>
      </c>
      <c r="U87" s="224">
        <f t="shared" si="44"/>
        <v>0</v>
      </c>
      <c r="V87" s="224">
        <f t="shared" si="44"/>
        <v>0</v>
      </c>
      <c r="W87" s="224">
        <f aca="true" t="shared" si="45" ref="W87:AB93">X57-X215</f>
        <v>0</v>
      </c>
      <c r="X87" s="224">
        <f t="shared" si="45"/>
        <v>0</v>
      </c>
      <c r="Y87" s="224">
        <f t="shared" si="45"/>
        <v>0</v>
      </c>
      <c r="Z87" s="224">
        <f t="shared" si="45"/>
        <v>0</v>
      </c>
      <c r="AA87" s="224">
        <f t="shared" si="45"/>
        <v>0</v>
      </c>
      <c r="AB87" s="224">
        <f t="shared" si="45"/>
        <v>0</v>
      </c>
      <c r="AC87" s="224">
        <f t="shared" si="41"/>
        <v>0</v>
      </c>
      <c r="AD87" s="210"/>
      <c r="AE87" s="210"/>
    </row>
    <row r="88" spans="1:31" ht="23.25">
      <c r="A88" s="230" t="s">
        <v>469</v>
      </c>
      <c r="B88" s="171"/>
      <c r="C88" s="164"/>
      <c r="D88" s="164"/>
      <c r="E88" s="164"/>
      <c r="F88" s="164"/>
      <c r="G88" s="164"/>
      <c r="H88" s="164"/>
      <c r="I88" s="164"/>
      <c r="J88" s="164"/>
      <c r="K88" s="164"/>
      <c r="L88" s="164"/>
      <c r="M88" s="164"/>
      <c r="N88" s="164"/>
      <c r="O88" s="164"/>
      <c r="P88" s="167">
        <f t="shared" si="38"/>
        <v>0</v>
      </c>
      <c r="Q88" s="188">
        <f t="shared" si="44"/>
        <v>0</v>
      </c>
      <c r="R88" s="224">
        <f t="shared" si="44"/>
        <v>0</v>
      </c>
      <c r="S88" s="224">
        <f t="shared" si="44"/>
        <v>0</v>
      </c>
      <c r="T88" s="224">
        <f t="shared" si="44"/>
        <v>0</v>
      </c>
      <c r="U88" s="224">
        <f t="shared" si="44"/>
        <v>0</v>
      </c>
      <c r="V88" s="224">
        <f t="shared" si="44"/>
        <v>0</v>
      </c>
      <c r="W88" s="224">
        <f t="shared" si="45"/>
        <v>0</v>
      </c>
      <c r="X88" s="224">
        <f t="shared" si="45"/>
        <v>0</v>
      </c>
      <c r="Y88" s="224">
        <f t="shared" si="45"/>
        <v>0</v>
      </c>
      <c r="Z88" s="224">
        <f t="shared" si="45"/>
        <v>0</v>
      </c>
      <c r="AA88" s="224">
        <f t="shared" si="45"/>
        <v>0</v>
      </c>
      <c r="AB88" s="224">
        <f t="shared" si="45"/>
        <v>0</v>
      </c>
      <c r="AC88" s="224">
        <f t="shared" si="41"/>
        <v>0</v>
      </c>
      <c r="AD88" s="210"/>
      <c r="AE88" s="210"/>
    </row>
    <row r="89" spans="1:31" ht="15.75">
      <c r="A89" s="171"/>
      <c r="B89" s="530" t="s">
        <v>470</v>
      </c>
      <c r="C89" s="210"/>
      <c r="D89" s="210"/>
      <c r="E89" s="231"/>
      <c r="F89" s="210"/>
      <c r="G89" s="210"/>
      <c r="H89" s="210"/>
      <c r="I89" s="210"/>
      <c r="J89" s="210"/>
      <c r="K89" s="210"/>
      <c r="L89" s="210"/>
      <c r="M89" s="210"/>
      <c r="N89" s="210"/>
      <c r="O89" s="164"/>
      <c r="P89" s="167">
        <f t="shared" si="38"/>
        <v>0</v>
      </c>
      <c r="Q89" s="188">
        <f t="shared" si="44"/>
        <v>0</v>
      </c>
      <c r="R89" s="224">
        <f t="shared" si="44"/>
        <v>0</v>
      </c>
      <c r="S89" s="224">
        <f t="shared" si="44"/>
        <v>0</v>
      </c>
      <c r="T89" s="224">
        <f t="shared" si="44"/>
        <v>0</v>
      </c>
      <c r="U89" s="224">
        <f t="shared" si="44"/>
        <v>0</v>
      </c>
      <c r="V89" s="224">
        <f t="shared" si="44"/>
        <v>0</v>
      </c>
      <c r="W89" s="224">
        <f t="shared" si="45"/>
        <v>0</v>
      </c>
      <c r="X89" s="224">
        <f t="shared" si="45"/>
        <v>0</v>
      </c>
      <c r="Y89" s="224">
        <f t="shared" si="45"/>
        <v>0</v>
      </c>
      <c r="Z89" s="224">
        <f t="shared" si="45"/>
        <v>0</v>
      </c>
      <c r="AA89" s="224">
        <f t="shared" si="45"/>
        <v>0</v>
      </c>
      <c r="AB89" s="224">
        <f t="shared" si="45"/>
        <v>0</v>
      </c>
      <c r="AC89" s="224">
        <f t="shared" si="41"/>
        <v>0</v>
      </c>
      <c r="AD89" s="210"/>
      <c r="AE89" s="210"/>
    </row>
    <row r="90" spans="1:31" ht="15.75">
      <c r="A90" s="232" t="s">
        <v>1083</v>
      </c>
      <c r="B90" s="531" t="s">
        <v>471</v>
      </c>
      <c r="C90" s="532">
        <f aca="true" t="shared" si="46" ref="C90:N90">D40</f>
        <v>0</v>
      </c>
      <c r="D90" s="532">
        <f t="shared" si="46"/>
        <v>0</v>
      </c>
      <c r="E90" s="532">
        <f t="shared" si="46"/>
        <v>0</v>
      </c>
      <c r="F90" s="532">
        <f t="shared" si="46"/>
        <v>0</v>
      </c>
      <c r="G90" s="532">
        <f t="shared" si="46"/>
        <v>0</v>
      </c>
      <c r="H90" s="532">
        <f t="shared" si="46"/>
        <v>0</v>
      </c>
      <c r="I90" s="532">
        <f t="shared" si="46"/>
        <v>0</v>
      </c>
      <c r="J90" s="532">
        <f t="shared" si="46"/>
        <v>0</v>
      </c>
      <c r="K90" s="532">
        <f t="shared" si="46"/>
        <v>0</v>
      </c>
      <c r="L90" s="532">
        <f t="shared" si="46"/>
        <v>0</v>
      </c>
      <c r="M90" s="532">
        <f t="shared" si="46"/>
        <v>0</v>
      </c>
      <c r="N90" s="532">
        <f t="shared" si="46"/>
        <v>0</v>
      </c>
      <c r="O90" s="232" t="s">
        <v>472</v>
      </c>
      <c r="P90" s="167">
        <f t="shared" si="38"/>
        <v>0</v>
      </c>
      <c r="Q90" s="188">
        <f t="shared" si="44"/>
        <v>0</v>
      </c>
      <c r="R90" s="224">
        <f t="shared" si="44"/>
        <v>0</v>
      </c>
      <c r="S90" s="224">
        <f t="shared" si="44"/>
        <v>0</v>
      </c>
      <c r="T90" s="224">
        <f t="shared" si="44"/>
        <v>0</v>
      </c>
      <c r="U90" s="224">
        <f t="shared" si="44"/>
        <v>0</v>
      </c>
      <c r="V90" s="224">
        <f t="shared" si="44"/>
        <v>0</v>
      </c>
      <c r="W90" s="224">
        <f t="shared" si="45"/>
        <v>0</v>
      </c>
      <c r="X90" s="224">
        <f t="shared" si="45"/>
        <v>0</v>
      </c>
      <c r="Y90" s="224">
        <f t="shared" si="45"/>
        <v>0</v>
      </c>
      <c r="Z90" s="224">
        <f t="shared" si="45"/>
        <v>0</v>
      </c>
      <c r="AA90" s="224">
        <f t="shared" si="45"/>
        <v>0</v>
      </c>
      <c r="AB90" s="224">
        <f t="shared" si="45"/>
        <v>0</v>
      </c>
      <c r="AC90" s="224">
        <f t="shared" si="41"/>
        <v>0</v>
      </c>
      <c r="AD90" s="210"/>
      <c r="AE90" s="210"/>
    </row>
    <row r="91" spans="1:31" s="536" customFormat="1" ht="20.25">
      <c r="A91" s="233"/>
      <c r="B91" s="234" t="s">
        <v>473</v>
      </c>
      <c r="C91" s="235"/>
      <c r="D91" s="235"/>
      <c r="E91" s="235"/>
      <c r="F91" s="235"/>
      <c r="G91" s="235"/>
      <c r="H91" s="235"/>
      <c r="I91" s="235"/>
      <c r="J91" s="235"/>
      <c r="K91" s="235"/>
      <c r="L91" s="235"/>
      <c r="M91" s="235"/>
      <c r="N91" s="235"/>
      <c r="O91" s="236"/>
      <c r="P91" s="533">
        <f t="shared" si="38"/>
        <v>0</v>
      </c>
      <c r="Q91" s="534">
        <f t="shared" si="44"/>
        <v>0</v>
      </c>
      <c r="R91" s="535">
        <f t="shared" si="44"/>
        <v>0</v>
      </c>
      <c r="S91" s="535">
        <f t="shared" si="44"/>
        <v>0</v>
      </c>
      <c r="T91" s="535">
        <f t="shared" si="44"/>
        <v>0</v>
      </c>
      <c r="U91" s="535">
        <f t="shared" si="44"/>
        <v>0</v>
      </c>
      <c r="V91" s="535">
        <f t="shared" si="44"/>
        <v>0</v>
      </c>
      <c r="W91" s="535">
        <f t="shared" si="45"/>
        <v>0</v>
      </c>
      <c r="X91" s="535">
        <f t="shared" si="45"/>
        <v>0</v>
      </c>
      <c r="Y91" s="535">
        <f t="shared" si="45"/>
        <v>0</v>
      </c>
      <c r="Z91" s="535">
        <f t="shared" si="45"/>
        <v>0</v>
      </c>
      <c r="AA91" s="535">
        <f t="shared" si="45"/>
        <v>0</v>
      </c>
      <c r="AB91" s="535">
        <f t="shared" si="45"/>
        <v>0</v>
      </c>
      <c r="AC91" s="535">
        <f t="shared" si="41"/>
        <v>0</v>
      </c>
      <c r="AD91" s="443"/>
      <c r="AE91" s="443"/>
    </row>
    <row r="92" spans="1:31" ht="15.75">
      <c r="A92" s="537"/>
      <c r="B92" s="193" t="s">
        <v>474</v>
      </c>
      <c r="C92" s="538">
        <f>$C$11-C95-C97-C99-C101-C103-C105-C107-C109-C111-C113-C115-C117-C119-C121-C123-C125-C127</f>
        <v>0</v>
      </c>
      <c r="D92" s="538">
        <f aca="true" t="shared" si="47" ref="D92:N92">$C$11-D95-D97-D99-D101-D103-D105-D107-D109-D111-D113-D115-D117-D119-D121-D123-D125-D127</f>
        <v>0</v>
      </c>
      <c r="E92" s="538">
        <f t="shared" si="47"/>
        <v>0</v>
      </c>
      <c r="F92" s="538">
        <f t="shared" si="47"/>
        <v>0</v>
      </c>
      <c r="G92" s="538">
        <f t="shared" si="47"/>
        <v>0</v>
      </c>
      <c r="H92" s="538">
        <f t="shared" si="47"/>
        <v>0</v>
      </c>
      <c r="I92" s="538">
        <f t="shared" si="47"/>
        <v>0</v>
      </c>
      <c r="J92" s="538">
        <f t="shared" si="47"/>
        <v>0</v>
      </c>
      <c r="K92" s="538">
        <f t="shared" si="47"/>
        <v>0</v>
      </c>
      <c r="L92" s="538">
        <f t="shared" si="47"/>
        <v>0</v>
      </c>
      <c r="M92" s="538">
        <f t="shared" si="47"/>
        <v>0</v>
      </c>
      <c r="N92" s="538">
        <f t="shared" si="47"/>
        <v>0</v>
      </c>
      <c r="O92" s="539"/>
      <c r="P92" s="167">
        <f t="shared" si="38"/>
        <v>0</v>
      </c>
      <c r="Q92" s="188">
        <f t="shared" si="44"/>
        <v>0</v>
      </c>
      <c r="R92" s="224">
        <f t="shared" si="44"/>
        <v>0</v>
      </c>
      <c r="S92" s="224">
        <f t="shared" si="44"/>
        <v>0</v>
      </c>
      <c r="T92" s="224">
        <f t="shared" si="44"/>
        <v>0</v>
      </c>
      <c r="U92" s="224">
        <f t="shared" si="44"/>
        <v>0</v>
      </c>
      <c r="V92" s="224">
        <f t="shared" si="44"/>
        <v>0</v>
      </c>
      <c r="W92" s="224">
        <f t="shared" si="45"/>
        <v>0</v>
      </c>
      <c r="X92" s="224">
        <f t="shared" si="45"/>
        <v>0</v>
      </c>
      <c r="Y92" s="224">
        <f t="shared" si="45"/>
        <v>0</v>
      </c>
      <c r="Z92" s="224">
        <f t="shared" si="45"/>
        <v>0</v>
      </c>
      <c r="AA92" s="224">
        <f t="shared" si="45"/>
        <v>0</v>
      </c>
      <c r="AB92" s="224">
        <f t="shared" si="45"/>
        <v>0</v>
      </c>
      <c r="AC92" s="224">
        <f t="shared" si="41"/>
        <v>0</v>
      </c>
      <c r="AD92" s="210"/>
      <c r="AE92" s="210"/>
    </row>
    <row r="93" spans="1:31" ht="19.5" customHeight="1" thickBot="1">
      <c r="A93" s="540"/>
      <c r="B93" s="239"/>
      <c r="C93" s="541"/>
      <c r="D93" s="541"/>
      <c r="E93" s="541"/>
      <c r="F93" s="541"/>
      <c r="G93" s="541"/>
      <c r="H93" s="541"/>
      <c r="I93" s="541"/>
      <c r="J93" s="541"/>
      <c r="K93" s="541"/>
      <c r="L93" s="541"/>
      <c r="M93" s="541"/>
      <c r="N93" s="541"/>
      <c r="O93" s="542"/>
      <c r="P93" s="167">
        <f t="shared" si="38"/>
        <v>0</v>
      </c>
      <c r="Q93" s="237">
        <f t="shared" si="44"/>
        <v>0</v>
      </c>
      <c r="R93" s="237">
        <f t="shared" si="44"/>
        <v>0</v>
      </c>
      <c r="S93" s="237">
        <f t="shared" si="44"/>
        <v>0</v>
      </c>
      <c r="T93" s="237">
        <f t="shared" si="44"/>
        <v>0</v>
      </c>
      <c r="U93" s="237">
        <f t="shared" si="44"/>
        <v>0</v>
      </c>
      <c r="V93" s="237">
        <f t="shared" si="44"/>
        <v>0</v>
      </c>
      <c r="W93" s="237">
        <f t="shared" si="45"/>
        <v>0</v>
      </c>
      <c r="X93" s="237">
        <f t="shared" si="45"/>
        <v>0</v>
      </c>
      <c r="Y93" s="237">
        <f t="shared" si="45"/>
        <v>0</v>
      </c>
      <c r="Z93" s="237">
        <f t="shared" si="45"/>
        <v>0</v>
      </c>
      <c r="AA93" s="237">
        <f t="shared" si="45"/>
        <v>0</v>
      </c>
      <c r="AB93" s="237">
        <f t="shared" si="45"/>
        <v>0</v>
      </c>
      <c r="AC93" s="238">
        <f t="shared" si="41"/>
        <v>0</v>
      </c>
      <c r="AD93" s="210"/>
      <c r="AE93" s="210"/>
    </row>
    <row r="94" spans="1:31" ht="19.5" customHeight="1" thickBot="1">
      <c r="A94" s="537"/>
      <c r="B94" s="543" t="str">
        <f>$B$42</f>
        <v>Paddy Rice #1</v>
      </c>
      <c r="C94" s="544">
        <f aca="true" t="shared" si="48" ref="C94:N94">D42</f>
        <v>0</v>
      </c>
      <c r="D94" s="544">
        <f t="shared" si="48"/>
        <v>0</v>
      </c>
      <c r="E94" s="544">
        <f t="shared" si="48"/>
        <v>0</v>
      </c>
      <c r="F94" s="544">
        <f t="shared" si="48"/>
        <v>0</v>
      </c>
      <c r="G94" s="544">
        <f t="shared" si="48"/>
        <v>0</v>
      </c>
      <c r="H94" s="544">
        <f t="shared" si="48"/>
        <v>0</v>
      </c>
      <c r="I94" s="544">
        <f t="shared" si="48"/>
        <v>0</v>
      </c>
      <c r="J94" s="544">
        <f t="shared" si="48"/>
        <v>0</v>
      </c>
      <c r="K94" s="544">
        <f t="shared" si="48"/>
        <v>0</v>
      </c>
      <c r="L94" s="544">
        <f t="shared" si="48"/>
        <v>0</v>
      </c>
      <c r="M94" s="544">
        <f t="shared" si="48"/>
        <v>0</v>
      </c>
      <c r="N94" s="544">
        <f t="shared" si="48"/>
        <v>0</v>
      </c>
      <c r="O94" s="545"/>
      <c r="P94" s="240" t="s">
        <v>475</v>
      </c>
      <c r="Q94" s="205">
        <f aca="true" t="shared" si="49" ref="Q94:AB94">SUM(Q77:Q93)</f>
        <v>0</v>
      </c>
      <c r="R94" s="241">
        <f t="shared" si="49"/>
        <v>0</v>
      </c>
      <c r="S94" s="241">
        <f t="shared" si="49"/>
        <v>0</v>
      </c>
      <c r="T94" s="241">
        <f t="shared" si="49"/>
        <v>0</v>
      </c>
      <c r="U94" s="241">
        <f t="shared" si="49"/>
        <v>0</v>
      </c>
      <c r="V94" s="241">
        <f t="shared" si="49"/>
        <v>0</v>
      </c>
      <c r="W94" s="241">
        <f t="shared" si="49"/>
        <v>0</v>
      </c>
      <c r="X94" s="241">
        <f t="shared" si="49"/>
        <v>0</v>
      </c>
      <c r="Y94" s="241">
        <f t="shared" si="49"/>
        <v>0</v>
      </c>
      <c r="Z94" s="241">
        <f t="shared" si="49"/>
        <v>0</v>
      </c>
      <c r="AA94" s="241">
        <f t="shared" si="49"/>
        <v>0</v>
      </c>
      <c r="AB94" s="205">
        <f t="shared" si="49"/>
        <v>0</v>
      </c>
      <c r="AC94" s="170">
        <f>SUM(Q94:AB94)</f>
        <v>0</v>
      </c>
      <c r="AD94" s="210"/>
      <c r="AE94" s="210"/>
    </row>
    <row r="95" spans="1:31" ht="19.5" customHeight="1" thickBot="1">
      <c r="A95" s="546">
        <v>1</v>
      </c>
      <c r="B95" s="564" t="str">
        <f>$B$42</f>
        <v>Paddy Rice #1</v>
      </c>
      <c r="C95" s="604"/>
      <c r="D95" s="604"/>
      <c r="E95" s="604"/>
      <c r="F95" s="604"/>
      <c r="G95" s="604"/>
      <c r="H95" s="604"/>
      <c r="I95" s="604"/>
      <c r="J95" s="604"/>
      <c r="K95" s="604"/>
      <c r="L95" s="604"/>
      <c r="M95" s="604"/>
      <c r="N95" s="604"/>
      <c r="O95" s="539">
        <f>MAX(C95:N95)</f>
        <v>0</v>
      </c>
      <c r="P95" s="240" t="s">
        <v>476</v>
      </c>
      <c r="Q95" s="205"/>
      <c r="R95" s="241"/>
      <c r="S95" s="241"/>
      <c r="T95" s="241"/>
      <c r="U95" s="241"/>
      <c r="V95" s="241"/>
      <c r="W95" s="241"/>
      <c r="X95" s="241"/>
      <c r="Y95" s="241"/>
      <c r="Z95" s="241"/>
      <c r="AA95" s="241"/>
      <c r="AB95" s="205"/>
      <c r="AC95" s="242"/>
      <c r="AD95" s="210"/>
      <c r="AE95" s="210"/>
    </row>
    <row r="96" spans="1:31" ht="19.5" customHeight="1" thickTop="1">
      <c r="A96" s="547"/>
      <c r="B96" s="548" t="str">
        <f>$B$43</f>
        <v>Paddy Rice #2</v>
      </c>
      <c r="C96" s="549">
        <f aca="true" t="shared" si="50" ref="C96:N96">D43</f>
        <v>0</v>
      </c>
      <c r="D96" s="549">
        <f t="shared" si="50"/>
        <v>0</v>
      </c>
      <c r="E96" s="549">
        <f t="shared" si="50"/>
        <v>0</v>
      </c>
      <c r="F96" s="549">
        <f t="shared" si="50"/>
        <v>0</v>
      </c>
      <c r="G96" s="549">
        <f t="shared" si="50"/>
        <v>0</v>
      </c>
      <c r="H96" s="549">
        <f t="shared" si="50"/>
        <v>0</v>
      </c>
      <c r="I96" s="549">
        <f t="shared" si="50"/>
        <v>0</v>
      </c>
      <c r="J96" s="549">
        <f t="shared" si="50"/>
        <v>0</v>
      </c>
      <c r="K96" s="549">
        <f t="shared" si="50"/>
        <v>0</v>
      </c>
      <c r="L96" s="549">
        <f t="shared" si="50"/>
        <v>0</v>
      </c>
      <c r="M96" s="549">
        <f t="shared" si="50"/>
        <v>0</v>
      </c>
      <c r="N96" s="549">
        <f t="shared" si="50"/>
        <v>0</v>
      </c>
      <c r="O96" s="550"/>
      <c r="P96" s="152"/>
      <c r="Q96" s="243" t="s">
        <v>477</v>
      </c>
      <c r="R96" s="244"/>
      <c r="S96" s="244"/>
      <c r="T96" s="244"/>
      <c r="U96" s="244"/>
      <c r="V96" s="244"/>
      <c r="W96" s="244"/>
      <c r="X96" s="244"/>
      <c r="Y96" s="244"/>
      <c r="Z96" s="244"/>
      <c r="AA96" s="244"/>
      <c r="AB96" s="244"/>
      <c r="AC96" s="244"/>
      <c r="AD96" s="210"/>
      <c r="AE96" s="210"/>
    </row>
    <row r="97" spans="1:31" ht="19.5" customHeight="1" thickBot="1">
      <c r="A97" s="546">
        <v>2</v>
      </c>
      <c r="B97" s="551" t="str">
        <f>$B$43</f>
        <v>Paddy Rice #2</v>
      </c>
      <c r="C97" s="604"/>
      <c r="D97" s="604"/>
      <c r="E97" s="604"/>
      <c r="F97" s="604"/>
      <c r="G97" s="604"/>
      <c r="H97" s="604"/>
      <c r="I97" s="604"/>
      <c r="J97" s="604"/>
      <c r="K97" s="604"/>
      <c r="L97" s="604"/>
      <c r="M97" s="604"/>
      <c r="N97" s="604"/>
      <c r="O97" s="539">
        <f>MAX(C97:N97)</f>
        <v>0</v>
      </c>
      <c r="P97" s="221" t="s">
        <v>1085</v>
      </c>
      <c r="Q97" s="222">
        <f aca="true" t="shared" si="51" ref="Q97:AB97">D40</f>
        <v>0</v>
      </c>
      <c r="R97" s="222">
        <f t="shared" si="51"/>
        <v>0</v>
      </c>
      <c r="S97" s="222">
        <f t="shared" si="51"/>
        <v>0</v>
      </c>
      <c r="T97" s="222">
        <f t="shared" si="51"/>
        <v>0</v>
      </c>
      <c r="U97" s="222">
        <f t="shared" si="51"/>
        <v>0</v>
      </c>
      <c r="V97" s="222">
        <f t="shared" si="51"/>
        <v>0</v>
      </c>
      <c r="W97" s="222">
        <f t="shared" si="51"/>
        <v>0</v>
      </c>
      <c r="X97" s="222">
        <f t="shared" si="51"/>
        <v>0</v>
      </c>
      <c r="Y97" s="222">
        <f t="shared" si="51"/>
        <v>0</v>
      </c>
      <c r="Z97" s="222">
        <f t="shared" si="51"/>
        <v>0</v>
      </c>
      <c r="AA97" s="222">
        <f t="shared" si="51"/>
        <v>0</v>
      </c>
      <c r="AB97" s="222">
        <f t="shared" si="51"/>
        <v>0</v>
      </c>
      <c r="AC97" s="245" t="s">
        <v>226</v>
      </c>
      <c r="AD97" s="210"/>
      <c r="AE97" s="210"/>
    </row>
    <row r="98" spans="1:31" ht="19.5" customHeight="1" thickTop="1">
      <c r="A98" s="547"/>
      <c r="B98" s="548" t="str">
        <f>$B$44</f>
        <v>Paddy Rice #3</v>
      </c>
      <c r="C98" s="549">
        <f aca="true" t="shared" si="52" ref="C98:N98">D44</f>
        <v>0</v>
      </c>
      <c r="D98" s="549">
        <f t="shared" si="52"/>
        <v>0</v>
      </c>
      <c r="E98" s="549">
        <f t="shared" si="52"/>
        <v>0</v>
      </c>
      <c r="F98" s="549">
        <f t="shared" si="52"/>
        <v>0</v>
      </c>
      <c r="G98" s="549">
        <f t="shared" si="52"/>
        <v>0</v>
      </c>
      <c r="H98" s="549">
        <f t="shared" si="52"/>
        <v>0</v>
      </c>
      <c r="I98" s="549">
        <f t="shared" si="52"/>
        <v>0</v>
      </c>
      <c r="J98" s="549">
        <f t="shared" si="52"/>
        <v>0</v>
      </c>
      <c r="K98" s="549">
        <f t="shared" si="52"/>
        <v>0</v>
      </c>
      <c r="L98" s="549">
        <f t="shared" si="52"/>
        <v>0</v>
      </c>
      <c r="M98" s="549">
        <f t="shared" si="52"/>
        <v>0</v>
      </c>
      <c r="N98" s="549">
        <f t="shared" si="52"/>
        <v>0</v>
      </c>
      <c r="O98" s="550"/>
      <c r="P98" s="204" t="str">
        <f aca="true" t="shared" si="53" ref="P98:P114">B42</f>
        <v>Paddy Rice #1</v>
      </c>
      <c r="Q98" s="205">
        <f>Q77/((100-$C$15-$C$16)/100)</f>
        <v>0</v>
      </c>
      <c r="R98" s="205">
        <f aca="true" t="shared" si="54" ref="R98:AB98">R77/((100-$C$15-$C$16)/100)</f>
        <v>0</v>
      </c>
      <c r="S98" s="205">
        <f t="shared" si="54"/>
        <v>0</v>
      </c>
      <c r="T98" s="205">
        <f t="shared" si="54"/>
        <v>0</v>
      </c>
      <c r="U98" s="205">
        <f t="shared" si="54"/>
        <v>0</v>
      </c>
      <c r="V98" s="205">
        <f t="shared" si="54"/>
        <v>0</v>
      </c>
      <c r="W98" s="205">
        <f t="shared" si="54"/>
        <v>0</v>
      </c>
      <c r="X98" s="205">
        <f t="shared" si="54"/>
        <v>0</v>
      </c>
      <c r="Y98" s="205">
        <f t="shared" si="54"/>
        <v>0</v>
      </c>
      <c r="Z98" s="205">
        <f t="shared" si="54"/>
        <v>0</v>
      </c>
      <c r="AA98" s="205">
        <f t="shared" si="54"/>
        <v>0</v>
      </c>
      <c r="AB98" s="205">
        <f t="shared" si="54"/>
        <v>0</v>
      </c>
      <c r="AC98" s="224">
        <f aca="true" t="shared" si="55" ref="AC98:AC114">SUM(Q98:AB98)</f>
        <v>0</v>
      </c>
      <c r="AD98" s="210"/>
      <c r="AE98" s="210"/>
    </row>
    <row r="99" spans="1:31" ht="19.5" customHeight="1" thickBot="1">
      <c r="A99" s="552">
        <v>3</v>
      </c>
      <c r="B99" s="553" t="str">
        <f>$B$44</f>
        <v>Paddy Rice #3</v>
      </c>
      <c r="C99" s="605"/>
      <c r="D99" s="605"/>
      <c r="E99" s="605"/>
      <c r="F99" s="605"/>
      <c r="G99" s="605"/>
      <c r="H99" s="605"/>
      <c r="I99" s="605"/>
      <c r="J99" s="605"/>
      <c r="K99" s="605"/>
      <c r="L99" s="605"/>
      <c r="M99" s="605"/>
      <c r="N99" s="605"/>
      <c r="O99" s="539">
        <f>MAX(C99:N99)</f>
        <v>0</v>
      </c>
      <c r="P99" s="204" t="str">
        <f t="shared" si="53"/>
        <v>Paddy Rice #2</v>
      </c>
      <c r="Q99" s="205">
        <f aca="true" t="shared" si="56" ref="Q99:AB100">Q78/((100-$C$15-$C$16)/100)</f>
        <v>0</v>
      </c>
      <c r="R99" s="205">
        <f t="shared" si="56"/>
        <v>0</v>
      </c>
      <c r="S99" s="205">
        <f t="shared" si="56"/>
        <v>0</v>
      </c>
      <c r="T99" s="205">
        <f t="shared" si="56"/>
        <v>0</v>
      </c>
      <c r="U99" s="205">
        <f t="shared" si="56"/>
        <v>0</v>
      </c>
      <c r="V99" s="205">
        <f t="shared" si="56"/>
        <v>0</v>
      </c>
      <c r="W99" s="205">
        <f t="shared" si="56"/>
        <v>0</v>
      </c>
      <c r="X99" s="205">
        <f t="shared" si="56"/>
        <v>0</v>
      </c>
      <c r="Y99" s="205">
        <f t="shared" si="56"/>
        <v>0</v>
      </c>
      <c r="Z99" s="205">
        <f t="shared" si="56"/>
        <v>0</v>
      </c>
      <c r="AA99" s="205">
        <f t="shared" si="56"/>
        <v>0</v>
      </c>
      <c r="AB99" s="205">
        <f t="shared" si="56"/>
        <v>0</v>
      </c>
      <c r="AC99" s="224">
        <f t="shared" si="55"/>
        <v>0</v>
      </c>
      <c r="AD99" s="210"/>
      <c r="AE99" s="210"/>
    </row>
    <row r="100" spans="1:31" ht="19.5" customHeight="1" thickTop="1">
      <c r="A100" s="554"/>
      <c r="B100" s="555">
        <f>$B$45</f>
        <v>0</v>
      </c>
      <c r="C100" s="556">
        <f aca="true" t="shared" si="57" ref="C100:N100">D45</f>
        <v>0</v>
      </c>
      <c r="D100" s="556">
        <f t="shared" si="57"/>
        <v>0</v>
      </c>
      <c r="E100" s="556">
        <f t="shared" si="57"/>
        <v>0</v>
      </c>
      <c r="F100" s="556">
        <f t="shared" si="57"/>
        <v>0</v>
      </c>
      <c r="G100" s="556">
        <f t="shared" si="57"/>
        <v>0</v>
      </c>
      <c r="H100" s="556">
        <f t="shared" si="57"/>
        <v>0</v>
      </c>
      <c r="I100" s="556">
        <f t="shared" si="57"/>
        <v>0</v>
      </c>
      <c r="J100" s="556">
        <f t="shared" si="57"/>
        <v>0</v>
      </c>
      <c r="K100" s="556">
        <f t="shared" si="57"/>
        <v>0</v>
      </c>
      <c r="L100" s="556">
        <f t="shared" si="57"/>
        <v>0</v>
      </c>
      <c r="M100" s="556">
        <f t="shared" si="57"/>
        <v>0</v>
      </c>
      <c r="N100" s="556">
        <f t="shared" si="57"/>
        <v>0</v>
      </c>
      <c r="O100" s="550"/>
      <c r="P100" s="204" t="str">
        <f t="shared" si="53"/>
        <v>Paddy Rice #3</v>
      </c>
      <c r="Q100" s="205">
        <f t="shared" si="56"/>
        <v>0</v>
      </c>
      <c r="R100" s="205">
        <f t="shared" si="56"/>
        <v>0</v>
      </c>
      <c r="S100" s="205">
        <f t="shared" si="56"/>
        <v>0</v>
      </c>
      <c r="T100" s="205">
        <f t="shared" si="56"/>
        <v>0</v>
      </c>
      <c r="U100" s="205">
        <f t="shared" si="56"/>
        <v>0</v>
      </c>
      <c r="V100" s="205">
        <f t="shared" si="56"/>
        <v>0</v>
      </c>
      <c r="W100" s="205">
        <f t="shared" si="56"/>
        <v>0</v>
      </c>
      <c r="X100" s="205">
        <f t="shared" si="56"/>
        <v>0</v>
      </c>
      <c r="Y100" s="205">
        <f t="shared" si="56"/>
        <v>0</v>
      </c>
      <c r="Z100" s="205">
        <f t="shared" si="56"/>
        <v>0</v>
      </c>
      <c r="AA100" s="205">
        <f t="shared" si="56"/>
        <v>0</v>
      </c>
      <c r="AB100" s="205">
        <f t="shared" si="56"/>
        <v>0</v>
      </c>
      <c r="AC100" s="224">
        <f t="shared" si="55"/>
        <v>0</v>
      </c>
      <c r="AD100" s="210"/>
      <c r="AE100" s="210"/>
    </row>
    <row r="101" spans="1:31" ht="19.5" customHeight="1" thickBot="1">
      <c r="A101" s="546">
        <v>4</v>
      </c>
      <c r="B101" s="557">
        <f>$B$45</f>
        <v>0</v>
      </c>
      <c r="C101" s="604"/>
      <c r="D101" s="604"/>
      <c r="E101" s="604"/>
      <c r="F101" s="604"/>
      <c r="G101" s="604"/>
      <c r="H101" s="604"/>
      <c r="I101" s="604"/>
      <c r="J101" s="604"/>
      <c r="K101" s="604"/>
      <c r="L101" s="604"/>
      <c r="M101" s="604"/>
      <c r="N101" s="604"/>
      <c r="O101" s="539">
        <f>MAX(C101:N101)</f>
        <v>0</v>
      </c>
      <c r="P101" s="204">
        <f t="shared" si="53"/>
        <v>0</v>
      </c>
      <c r="Q101" s="205" t="e">
        <f>Q80/($C$17/100)</f>
        <v>#DIV/0!</v>
      </c>
      <c r="R101" s="205" t="e">
        <f aca="true" t="shared" si="58" ref="R101:AB101">R80/($C$17/100)</f>
        <v>#DIV/0!</v>
      </c>
      <c r="S101" s="205" t="e">
        <f t="shared" si="58"/>
        <v>#DIV/0!</v>
      </c>
      <c r="T101" s="205" t="e">
        <f t="shared" si="58"/>
        <v>#DIV/0!</v>
      </c>
      <c r="U101" s="205" t="e">
        <f t="shared" si="58"/>
        <v>#DIV/0!</v>
      </c>
      <c r="V101" s="205" t="e">
        <f t="shared" si="58"/>
        <v>#DIV/0!</v>
      </c>
      <c r="W101" s="205" t="e">
        <f t="shared" si="58"/>
        <v>#DIV/0!</v>
      </c>
      <c r="X101" s="205" t="e">
        <f t="shared" si="58"/>
        <v>#DIV/0!</v>
      </c>
      <c r="Y101" s="205" t="e">
        <f t="shared" si="58"/>
        <v>#DIV/0!</v>
      </c>
      <c r="Z101" s="205" t="e">
        <f t="shared" si="58"/>
        <v>#DIV/0!</v>
      </c>
      <c r="AA101" s="205" t="e">
        <f t="shared" si="58"/>
        <v>#DIV/0!</v>
      </c>
      <c r="AB101" s="205" t="e">
        <f t="shared" si="58"/>
        <v>#DIV/0!</v>
      </c>
      <c r="AC101" s="224" t="e">
        <f t="shared" si="55"/>
        <v>#DIV/0!</v>
      </c>
      <c r="AD101" s="210"/>
      <c r="AE101" s="210"/>
    </row>
    <row r="102" spans="1:31" ht="19.5" customHeight="1" thickTop="1">
      <c r="A102" s="547"/>
      <c r="B102" s="558">
        <f>$B$46</f>
        <v>0</v>
      </c>
      <c r="C102" s="549">
        <f aca="true" t="shared" si="59" ref="C102:N102">D46</f>
        <v>0</v>
      </c>
      <c r="D102" s="549">
        <f t="shared" si="59"/>
        <v>0</v>
      </c>
      <c r="E102" s="549">
        <f t="shared" si="59"/>
        <v>0</v>
      </c>
      <c r="F102" s="549">
        <f t="shared" si="59"/>
        <v>0</v>
      </c>
      <c r="G102" s="549">
        <f t="shared" si="59"/>
        <v>0</v>
      </c>
      <c r="H102" s="549">
        <f t="shared" si="59"/>
        <v>0</v>
      </c>
      <c r="I102" s="549">
        <f t="shared" si="59"/>
        <v>0</v>
      </c>
      <c r="J102" s="549">
        <f t="shared" si="59"/>
        <v>0</v>
      </c>
      <c r="K102" s="549">
        <f t="shared" si="59"/>
        <v>0</v>
      </c>
      <c r="L102" s="549">
        <f t="shared" si="59"/>
        <v>0</v>
      </c>
      <c r="M102" s="549">
        <f t="shared" si="59"/>
        <v>0</v>
      </c>
      <c r="N102" s="549">
        <f t="shared" si="59"/>
        <v>0</v>
      </c>
      <c r="O102" s="550"/>
      <c r="P102" s="204">
        <f t="shared" si="53"/>
        <v>0</v>
      </c>
      <c r="Q102" s="205" t="e">
        <f aca="true" t="shared" si="60" ref="Q102:AB114">Q81/($C$17/100)</f>
        <v>#DIV/0!</v>
      </c>
      <c r="R102" s="205" t="e">
        <f t="shared" si="60"/>
        <v>#DIV/0!</v>
      </c>
      <c r="S102" s="205" t="e">
        <f t="shared" si="60"/>
        <v>#DIV/0!</v>
      </c>
      <c r="T102" s="205" t="e">
        <f t="shared" si="60"/>
        <v>#DIV/0!</v>
      </c>
      <c r="U102" s="205" t="e">
        <f t="shared" si="60"/>
        <v>#DIV/0!</v>
      </c>
      <c r="V102" s="205" t="e">
        <f t="shared" si="60"/>
        <v>#DIV/0!</v>
      </c>
      <c r="W102" s="205" t="e">
        <f t="shared" si="60"/>
        <v>#DIV/0!</v>
      </c>
      <c r="X102" s="205" t="e">
        <f t="shared" si="60"/>
        <v>#DIV/0!</v>
      </c>
      <c r="Y102" s="205" t="e">
        <f t="shared" si="60"/>
        <v>#DIV/0!</v>
      </c>
      <c r="Z102" s="205" t="e">
        <f t="shared" si="60"/>
        <v>#DIV/0!</v>
      </c>
      <c r="AA102" s="205" t="e">
        <f t="shared" si="60"/>
        <v>#DIV/0!</v>
      </c>
      <c r="AB102" s="205" t="e">
        <f t="shared" si="60"/>
        <v>#DIV/0!</v>
      </c>
      <c r="AC102" s="224" t="e">
        <f t="shared" si="55"/>
        <v>#DIV/0!</v>
      </c>
      <c r="AD102" s="210"/>
      <c r="AE102" s="210"/>
    </row>
    <row r="103" spans="1:31" ht="19.5" customHeight="1" thickBot="1">
      <c r="A103" s="552">
        <v>5</v>
      </c>
      <c r="B103" s="553">
        <f>$B$46</f>
        <v>0</v>
      </c>
      <c r="C103" s="605"/>
      <c r="D103" s="605"/>
      <c r="E103" s="605"/>
      <c r="F103" s="605"/>
      <c r="G103" s="605"/>
      <c r="H103" s="605"/>
      <c r="I103" s="605"/>
      <c r="J103" s="605"/>
      <c r="K103" s="605"/>
      <c r="L103" s="605"/>
      <c r="M103" s="605"/>
      <c r="N103" s="605"/>
      <c r="O103" s="539">
        <f>MAX(C103:N103)</f>
        <v>0</v>
      </c>
      <c r="P103" s="204">
        <f t="shared" si="53"/>
        <v>0</v>
      </c>
      <c r="Q103" s="205" t="e">
        <f t="shared" si="60"/>
        <v>#DIV/0!</v>
      </c>
      <c r="R103" s="205" t="e">
        <f t="shared" si="60"/>
        <v>#DIV/0!</v>
      </c>
      <c r="S103" s="205" t="e">
        <f t="shared" si="60"/>
        <v>#DIV/0!</v>
      </c>
      <c r="T103" s="205" t="e">
        <f t="shared" si="60"/>
        <v>#DIV/0!</v>
      </c>
      <c r="U103" s="205" t="e">
        <f t="shared" si="60"/>
        <v>#DIV/0!</v>
      </c>
      <c r="V103" s="205" t="e">
        <f t="shared" si="60"/>
        <v>#DIV/0!</v>
      </c>
      <c r="W103" s="205" t="e">
        <f t="shared" si="60"/>
        <v>#DIV/0!</v>
      </c>
      <c r="X103" s="205" t="e">
        <f t="shared" si="60"/>
        <v>#DIV/0!</v>
      </c>
      <c r="Y103" s="205" t="e">
        <f t="shared" si="60"/>
        <v>#DIV/0!</v>
      </c>
      <c r="Z103" s="205" t="e">
        <f t="shared" si="60"/>
        <v>#DIV/0!</v>
      </c>
      <c r="AA103" s="205" t="e">
        <f t="shared" si="60"/>
        <v>#DIV/0!</v>
      </c>
      <c r="AB103" s="205" t="e">
        <f t="shared" si="60"/>
        <v>#DIV/0!</v>
      </c>
      <c r="AC103" s="224" t="e">
        <f t="shared" si="55"/>
        <v>#DIV/0!</v>
      </c>
      <c r="AD103" s="210"/>
      <c r="AE103" s="210"/>
    </row>
    <row r="104" spans="1:31" ht="19.5" customHeight="1" thickTop="1">
      <c r="A104" s="554"/>
      <c r="B104" s="559">
        <f>$B$47</f>
        <v>0</v>
      </c>
      <c r="C104" s="556">
        <f aca="true" t="shared" si="61" ref="C104:N104">D47</f>
        <v>0</v>
      </c>
      <c r="D104" s="556">
        <f t="shared" si="61"/>
        <v>0</v>
      </c>
      <c r="E104" s="556">
        <f t="shared" si="61"/>
        <v>0</v>
      </c>
      <c r="F104" s="556">
        <f t="shared" si="61"/>
        <v>0</v>
      </c>
      <c r="G104" s="556">
        <f t="shared" si="61"/>
        <v>0</v>
      </c>
      <c r="H104" s="556">
        <f t="shared" si="61"/>
        <v>0</v>
      </c>
      <c r="I104" s="556">
        <f t="shared" si="61"/>
        <v>0</v>
      </c>
      <c r="J104" s="556">
        <f t="shared" si="61"/>
        <v>0</v>
      </c>
      <c r="K104" s="556">
        <f t="shared" si="61"/>
        <v>0</v>
      </c>
      <c r="L104" s="556">
        <f t="shared" si="61"/>
        <v>0</v>
      </c>
      <c r="M104" s="556">
        <f t="shared" si="61"/>
        <v>0</v>
      </c>
      <c r="N104" s="556">
        <f t="shared" si="61"/>
        <v>0</v>
      </c>
      <c r="O104" s="550"/>
      <c r="P104" s="204">
        <f t="shared" si="53"/>
        <v>0</v>
      </c>
      <c r="Q104" s="205" t="e">
        <f t="shared" si="60"/>
        <v>#DIV/0!</v>
      </c>
      <c r="R104" s="205" t="e">
        <f t="shared" si="60"/>
        <v>#DIV/0!</v>
      </c>
      <c r="S104" s="205" t="e">
        <f t="shared" si="60"/>
        <v>#DIV/0!</v>
      </c>
      <c r="T104" s="205" t="e">
        <f t="shared" si="60"/>
        <v>#DIV/0!</v>
      </c>
      <c r="U104" s="205" t="e">
        <f t="shared" si="60"/>
        <v>#DIV/0!</v>
      </c>
      <c r="V104" s="205" t="e">
        <f t="shared" si="60"/>
        <v>#DIV/0!</v>
      </c>
      <c r="W104" s="205" t="e">
        <f t="shared" si="60"/>
        <v>#DIV/0!</v>
      </c>
      <c r="X104" s="205" t="e">
        <f t="shared" si="60"/>
        <v>#DIV/0!</v>
      </c>
      <c r="Y104" s="205" t="e">
        <f t="shared" si="60"/>
        <v>#DIV/0!</v>
      </c>
      <c r="Z104" s="205" t="e">
        <f t="shared" si="60"/>
        <v>#DIV/0!</v>
      </c>
      <c r="AA104" s="205" t="e">
        <f t="shared" si="60"/>
        <v>#DIV/0!</v>
      </c>
      <c r="AB104" s="205" t="e">
        <f t="shared" si="60"/>
        <v>#DIV/0!</v>
      </c>
      <c r="AC104" s="224" t="e">
        <f t="shared" si="55"/>
        <v>#DIV/0!</v>
      </c>
      <c r="AD104" s="210"/>
      <c r="AE104" s="210"/>
    </row>
    <row r="105" spans="1:31" ht="19.5" customHeight="1" thickBot="1">
      <c r="A105" s="546">
        <v>6</v>
      </c>
      <c r="B105" s="557">
        <f>$B$47</f>
        <v>0</v>
      </c>
      <c r="C105" s="604"/>
      <c r="D105" s="604"/>
      <c r="E105" s="604"/>
      <c r="F105" s="604"/>
      <c r="G105" s="604"/>
      <c r="H105" s="604"/>
      <c r="I105" s="604"/>
      <c r="J105" s="604"/>
      <c r="K105" s="604"/>
      <c r="L105" s="604"/>
      <c r="M105" s="604"/>
      <c r="N105" s="604"/>
      <c r="O105" s="539">
        <f>MAX(C105:N105)</f>
        <v>0</v>
      </c>
      <c r="P105" s="204">
        <f t="shared" si="53"/>
        <v>0</v>
      </c>
      <c r="Q105" s="205" t="e">
        <f t="shared" si="60"/>
        <v>#DIV/0!</v>
      </c>
      <c r="R105" s="205" t="e">
        <f t="shared" si="60"/>
        <v>#DIV/0!</v>
      </c>
      <c r="S105" s="205" t="e">
        <f t="shared" si="60"/>
        <v>#DIV/0!</v>
      </c>
      <c r="T105" s="205" t="e">
        <f t="shared" si="60"/>
        <v>#DIV/0!</v>
      </c>
      <c r="U105" s="205" t="e">
        <f t="shared" si="60"/>
        <v>#DIV/0!</v>
      </c>
      <c r="V105" s="205" t="e">
        <f t="shared" si="60"/>
        <v>#DIV/0!</v>
      </c>
      <c r="W105" s="205" t="e">
        <f t="shared" si="60"/>
        <v>#DIV/0!</v>
      </c>
      <c r="X105" s="205" t="e">
        <f t="shared" si="60"/>
        <v>#DIV/0!</v>
      </c>
      <c r="Y105" s="205" t="e">
        <f t="shared" si="60"/>
        <v>#DIV/0!</v>
      </c>
      <c r="Z105" s="205" t="e">
        <f t="shared" si="60"/>
        <v>#DIV/0!</v>
      </c>
      <c r="AA105" s="205" t="e">
        <f t="shared" si="60"/>
        <v>#DIV/0!</v>
      </c>
      <c r="AB105" s="205" t="e">
        <f t="shared" si="60"/>
        <v>#DIV/0!</v>
      </c>
      <c r="AC105" s="224" t="e">
        <f t="shared" si="55"/>
        <v>#DIV/0!</v>
      </c>
      <c r="AD105" s="210"/>
      <c r="AE105" s="210"/>
    </row>
    <row r="106" spans="1:31" ht="19.5" customHeight="1" thickTop="1">
      <c r="A106" s="547"/>
      <c r="B106" s="558">
        <f>$B$48</f>
        <v>0</v>
      </c>
      <c r="C106" s="549">
        <f aca="true" t="shared" si="62" ref="C106:N106">D48</f>
        <v>0</v>
      </c>
      <c r="D106" s="549">
        <f t="shared" si="62"/>
        <v>0</v>
      </c>
      <c r="E106" s="549">
        <f t="shared" si="62"/>
        <v>0</v>
      </c>
      <c r="F106" s="549">
        <f t="shared" si="62"/>
        <v>0</v>
      </c>
      <c r="G106" s="549">
        <f t="shared" si="62"/>
        <v>0</v>
      </c>
      <c r="H106" s="549">
        <f t="shared" si="62"/>
        <v>0</v>
      </c>
      <c r="I106" s="549">
        <f t="shared" si="62"/>
        <v>0</v>
      </c>
      <c r="J106" s="549">
        <f t="shared" si="62"/>
        <v>0</v>
      </c>
      <c r="K106" s="549">
        <f t="shared" si="62"/>
        <v>0</v>
      </c>
      <c r="L106" s="549">
        <f t="shared" si="62"/>
        <v>0</v>
      </c>
      <c r="M106" s="549">
        <f t="shared" si="62"/>
        <v>0</v>
      </c>
      <c r="N106" s="549">
        <f t="shared" si="62"/>
        <v>0</v>
      </c>
      <c r="O106" s="560"/>
      <c r="P106" s="204">
        <f t="shared" si="53"/>
        <v>0</v>
      </c>
      <c r="Q106" s="205" t="e">
        <f t="shared" si="60"/>
        <v>#DIV/0!</v>
      </c>
      <c r="R106" s="205" t="e">
        <f t="shared" si="60"/>
        <v>#DIV/0!</v>
      </c>
      <c r="S106" s="205" t="e">
        <f t="shared" si="60"/>
        <v>#DIV/0!</v>
      </c>
      <c r="T106" s="205" t="e">
        <f t="shared" si="60"/>
        <v>#DIV/0!</v>
      </c>
      <c r="U106" s="205" t="e">
        <f t="shared" si="60"/>
        <v>#DIV/0!</v>
      </c>
      <c r="V106" s="205" t="e">
        <f t="shared" si="60"/>
        <v>#DIV/0!</v>
      </c>
      <c r="W106" s="205" t="e">
        <f t="shared" si="60"/>
        <v>#DIV/0!</v>
      </c>
      <c r="X106" s="205" t="e">
        <f t="shared" si="60"/>
        <v>#DIV/0!</v>
      </c>
      <c r="Y106" s="205" t="e">
        <f t="shared" si="60"/>
        <v>#DIV/0!</v>
      </c>
      <c r="Z106" s="205" t="e">
        <f t="shared" si="60"/>
        <v>#DIV/0!</v>
      </c>
      <c r="AA106" s="205" t="e">
        <f t="shared" si="60"/>
        <v>#DIV/0!</v>
      </c>
      <c r="AB106" s="205" t="e">
        <f t="shared" si="60"/>
        <v>#DIV/0!</v>
      </c>
      <c r="AC106" s="224" t="e">
        <f t="shared" si="55"/>
        <v>#DIV/0!</v>
      </c>
      <c r="AD106" s="210"/>
      <c r="AE106" s="210"/>
    </row>
    <row r="107" spans="1:31" ht="19.5" customHeight="1" thickBot="1">
      <c r="A107" s="552">
        <v>7</v>
      </c>
      <c r="B107" s="553">
        <f>$B$48</f>
        <v>0</v>
      </c>
      <c r="C107" s="605"/>
      <c r="D107" s="605"/>
      <c r="E107" s="605"/>
      <c r="F107" s="605"/>
      <c r="G107" s="605"/>
      <c r="H107" s="605"/>
      <c r="I107" s="605"/>
      <c r="J107" s="605"/>
      <c r="K107" s="605"/>
      <c r="L107" s="605"/>
      <c r="M107" s="605"/>
      <c r="N107" s="605"/>
      <c r="O107" s="539">
        <f>MAX(C107:N107)</f>
        <v>0</v>
      </c>
      <c r="P107" s="204">
        <f t="shared" si="53"/>
        <v>0</v>
      </c>
      <c r="Q107" s="205" t="e">
        <f t="shared" si="60"/>
        <v>#DIV/0!</v>
      </c>
      <c r="R107" s="205" t="e">
        <f t="shared" si="60"/>
        <v>#DIV/0!</v>
      </c>
      <c r="S107" s="205" t="e">
        <f t="shared" si="60"/>
        <v>#DIV/0!</v>
      </c>
      <c r="T107" s="205" t="e">
        <f t="shared" si="60"/>
        <v>#DIV/0!</v>
      </c>
      <c r="U107" s="205" t="e">
        <f t="shared" si="60"/>
        <v>#DIV/0!</v>
      </c>
      <c r="V107" s="205" t="e">
        <f t="shared" si="60"/>
        <v>#DIV/0!</v>
      </c>
      <c r="W107" s="205" t="e">
        <f t="shared" si="60"/>
        <v>#DIV/0!</v>
      </c>
      <c r="X107" s="205" t="e">
        <f t="shared" si="60"/>
        <v>#DIV/0!</v>
      </c>
      <c r="Y107" s="205" t="e">
        <f t="shared" si="60"/>
        <v>#DIV/0!</v>
      </c>
      <c r="Z107" s="205" t="e">
        <f t="shared" si="60"/>
        <v>#DIV/0!</v>
      </c>
      <c r="AA107" s="205" t="e">
        <f t="shared" si="60"/>
        <v>#DIV/0!</v>
      </c>
      <c r="AB107" s="205" t="e">
        <f t="shared" si="60"/>
        <v>#DIV/0!</v>
      </c>
      <c r="AC107" s="224" t="e">
        <f t="shared" si="55"/>
        <v>#DIV/0!</v>
      </c>
      <c r="AD107" s="210"/>
      <c r="AE107" s="210"/>
    </row>
    <row r="108" spans="1:31" ht="19.5" customHeight="1" thickTop="1">
      <c r="A108" s="554"/>
      <c r="B108" s="559">
        <f>$B$49</f>
        <v>0</v>
      </c>
      <c r="C108" s="556">
        <f aca="true" t="shared" si="63" ref="C108:N108">D49</f>
        <v>0</v>
      </c>
      <c r="D108" s="556">
        <f t="shared" si="63"/>
        <v>0</v>
      </c>
      <c r="E108" s="556">
        <f t="shared" si="63"/>
        <v>0</v>
      </c>
      <c r="F108" s="556">
        <f t="shared" si="63"/>
        <v>0</v>
      </c>
      <c r="G108" s="556">
        <f t="shared" si="63"/>
        <v>0</v>
      </c>
      <c r="H108" s="556">
        <f t="shared" si="63"/>
        <v>0</v>
      </c>
      <c r="I108" s="556">
        <f t="shared" si="63"/>
        <v>0</v>
      </c>
      <c r="J108" s="556">
        <f t="shared" si="63"/>
        <v>0</v>
      </c>
      <c r="K108" s="556">
        <f t="shared" si="63"/>
        <v>0</v>
      </c>
      <c r="L108" s="556">
        <f t="shared" si="63"/>
        <v>0</v>
      </c>
      <c r="M108" s="556">
        <f t="shared" si="63"/>
        <v>0</v>
      </c>
      <c r="N108" s="556">
        <f t="shared" si="63"/>
        <v>0</v>
      </c>
      <c r="O108" s="550"/>
      <c r="P108" s="204">
        <f t="shared" si="53"/>
        <v>0</v>
      </c>
      <c r="Q108" s="205" t="e">
        <f t="shared" si="60"/>
        <v>#DIV/0!</v>
      </c>
      <c r="R108" s="205" t="e">
        <f t="shared" si="60"/>
        <v>#DIV/0!</v>
      </c>
      <c r="S108" s="205" t="e">
        <f t="shared" si="60"/>
        <v>#DIV/0!</v>
      </c>
      <c r="T108" s="205" t="e">
        <f t="shared" si="60"/>
        <v>#DIV/0!</v>
      </c>
      <c r="U108" s="205" t="e">
        <f t="shared" si="60"/>
        <v>#DIV/0!</v>
      </c>
      <c r="V108" s="205" t="e">
        <f t="shared" si="60"/>
        <v>#DIV/0!</v>
      </c>
      <c r="W108" s="205" t="e">
        <f t="shared" si="60"/>
        <v>#DIV/0!</v>
      </c>
      <c r="X108" s="205" t="e">
        <f t="shared" si="60"/>
        <v>#DIV/0!</v>
      </c>
      <c r="Y108" s="205" t="e">
        <f t="shared" si="60"/>
        <v>#DIV/0!</v>
      </c>
      <c r="Z108" s="205" t="e">
        <f t="shared" si="60"/>
        <v>#DIV/0!</v>
      </c>
      <c r="AA108" s="205" t="e">
        <f t="shared" si="60"/>
        <v>#DIV/0!</v>
      </c>
      <c r="AB108" s="205" t="e">
        <f t="shared" si="60"/>
        <v>#DIV/0!</v>
      </c>
      <c r="AC108" s="224" t="e">
        <f t="shared" si="55"/>
        <v>#DIV/0!</v>
      </c>
      <c r="AD108" s="210"/>
      <c r="AE108" s="210"/>
    </row>
    <row r="109" spans="1:31" ht="19.5" customHeight="1" thickBot="1">
      <c r="A109" s="546">
        <v>8</v>
      </c>
      <c r="B109" s="557">
        <f>$B$49</f>
        <v>0</v>
      </c>
      <c r="C109" s="604"/>
      <c r="D109" s="604"/>
      <c r="E109" s="604"/>
      <c r="F109" s="604"/>
      <c r="G109" s="604"/>
      <c r="H109" s="604"/>
      <c r="I109" s="604"/>
      <c r="J109" s="604"/>
      <c r="K109" s="604"/>
      <c r="L109" s="604"/>
      <c r="M109" s="604"/>
      <c r="N109" s="604"/>
      <c r="O109" s="539">
        <f>MAX(C109:N109)</f>
        <v>0</v>
      </c>
      <c r="P109" s="204">
        <f t="shared" si="53"/>
        <v>0</v>
      </c>
      <c r="Q109" s="205" t="e">
        <f t="shared" si="60"/>
        <v>#DIV/0!</v>
      </c>
      <c r="R109" s="205" t="e">
        <f t="shared" si="60"/>
        <v>#DIV/0!</v>
      </c>
      <c r="S109" s="205" t="e">
        <f t="shared" si="60"/>
        <v>#DIV/0!</v>
      </c>
      <c r="T109" s="205" t="e">
        <f t="shared" si="60"/>
        <v>#DIV/0!</v>
      </c>
      <c r="U109" s="205" t="e">
        <f t="shared" si="60"/>
        <v>#DIV/0!</v>
      </c>
      <c r="V109" s="205" t="e">
        <f t="shared" si="60"/>
        <v>#DIV/0!</v>
      </c>
      <c r="W109" s="205" t="e">
        <f t="shared" si="60"/>
        <v>#DIV/0!</v>
      </c>
      <c r="X109" s="205" t="e">
        <f t="shared" si="60"/>
        <v>#DIV/0!</v>
      </c>
      <c r="Y109" s="205" t="e">
        <f t="shared" si="60"/>
        <v>#DIV/0!</v>
      </c>
      <c r="Z109" s="205" t="e">
        <f t="shared" si="60"/>
        <v>#DIV/0!</v>
      </c>
      <c r="AA109" s="205" t="e">
        <f t="shared" si="60"/>
        <v>#DIV/0!</v>
      </c>
      <c r="AB109" s="205" t="e">
        <f t="shared" si="60"/>
        <v>#DIV/0!</v>
      </c>
      <c r="AC109" s="224" t="e">
        <f t="shared" si="55"/>
        <v>#DIV/0!</v>
      </c>
      <c r="AD109" s="210"/>
      <c r="AE109" s="210"/>
    </row>
    <row r="110" spans="1:31" ht="19.5" customHeight="1" thickTop="1">
      <c r="A110" s="547"/>
      <c r="B110" s="558">
        <f>$B$50</f>
        <v>0</v>
      </c>
      <c r="C110" s="549">
        <f aca="true" t="shared" si="64" ref="C110:N110">D50</f>
        <v>0</v>
      </c>
      <c r="D110" s="549">
        <f t="shared" si="64"/>
        <v>0</v>
      </c>
      <c r="E110" s="549">
        <f t="shared" si="64"/>
        <v>0</v>
      </c>
      <c r="F110" s="549">
        <f t="shared" si="64"/>
        <v>0</v>
      </c>
      <c r="G110" s="549">
        <f t="shared" si="64"/>
        <v>0</v>
      </c>
      <c r="H110" s="549">
        <f t="shared" si="64"/>
        <v>0</v>
      </c>
      <c r="I110" s="549">
        <f t="shared" si="64"/>
        <v>0</v>
      </c>
      <c r="J110" s="549">
        <f t="shared" si="64"/>
        <v>0</v>
      </c>
      <c r="K110" s="549">
        <f t="shared" si="64"/>
        <v>0</v>
      </c>
      <c r="L110" s="549">
        <f t="shared" si="64"/>
        <v>0</v>
      </c>
      <c r="M110" s="549">
        <f t="shared" si="64"/>
        <v>0</v>
      </c>
      <c r="N110" s="549">
        <f t="shared" si="64"/>
        <v>0</v>
      </c>
      <c r="O110" s="550"/>
      <c r="P110" s="204">
        <f t="shared" si="53"/>
        <v>0</v>
      </c>
      <c r="Q110" s="205" t="e">
        <f t="shared" si="60"/>
        <v>#DIV/0!</v>
      </c>
      <c r="R110" s="205" t="e">
        <f t="shared" si="60"/>
        <v>#DIV/0!</v>
      </c>
      <c r="S110" s="205" t="e">
        <f t="shared" si="60"/>
        <v>#DIV/0!</v>
      </c>
      <c r="T110" s="205" t="e">
        <f t="shared" si="60"/>
        <v>#DIV/0!</v>
      </c>
      <c r="U110" s="205" t="e">
        <f t="shared" si="60"/>
        <v>#DIV/0!</v>
      </c>
      <c r="V110" s="205" t="e">
        <f t="shared" si="60"/>
        <v>#DIV/0!</v>
      </c>
      <c r="W110" s="205" t="e">
        <f t="shared" si="60"/>
        <v>#DIV/0!</v>
      </c>
      <c r="X110" s="205" t="e">
        <f t="shared" si="60"/>
        <v>#DIV/0!</v>
      </c>
      <c r="Y110" s="205" t="e">
        <f t="shared" si="60"/>
        <v>#DIV/0!</v>
      </c>
      <c r="Z110" s="205" t="e">
        <f t="shared" si="60"/>
        <v>#DIV/0!</v>
      </c>
      <c r="AA110" s="205" t="e">
        <f t="shared" si="60"/>
        <v>#DIV/0!</v>
      </c>
      <c r="AB110" s="205" t="e">
        <f t="shared" si="60"/>
        <v>#DIV/0!</v>
      </c>
      <c r="AC110" s="224" t="e">
        <f t="shared" si="55"/>
        <v>#DIV/0!</v>
      </c>
      <c r="AD110" s="210"/>
      <c r="AE110" s="210"/>
    </row>
    <row r="111" spans="1:31" ht="19.5" customHeight="1" thickBot="1">
      <c r="A111" s="552">
        <v>9</v>
      </c>
      <c r="B111" s="553">
        <f>$B$50</f>
        <v>0</v>
      </c>
      <c r="C111" s="605"/>
      <c r="D111" s="605"/>
      <c r="E111" s="605"/>
      <c r="F111" s="605"/>
      <c r="G111" s="605"/>
      <c r="H111" s="605"/>
      <c r="I111" s="605"/>
      <c r="J111" s="605"/>
      <c r="K111" s="605"/>
      <c r="L111" s="605"/>
      <c r="M111" s="605"/>
      <c r="N111" s="605"/>
      <c r="O111" s="539">
        <f>MAX(C111:N111)</f>
        <v>0</v>
      </c>
      <c r="P111" s="204">
        <f t="shared" si="53"/>
        <v>0</v>
      </c>
      <c r="Q111" s="205" t="e">
        <f t="shared" si="60"/>
        <v>#DIV/0!</v>
      </c>
      <c r="R111" s="205" t="e">
        <f t="shared" si="60"/>
        <v>#DIV/0!</v>
      </c>
      <c r="S111" s="205" t="e">
        <f t="shared" si="60"/>
        <v>#DIV/0!</v>
      </c>
      <c r="T111" s="205" t="e">
        <f t="shared" si="60"/>
        <v>#DIV/0!</v>
      </c>
      <c r="U111" s="205" t="e">
        <f t="shared" si="60"/>
        <v>#DIV/0!</v>
      </c>
      <c r="V111" s="205" t="e">
        <f t="shared" si="60"/>
        <v>#DIV/0!</v>
      </c>
      <c r="W111" s="205" t="e">
        <f t="shared" si="60"/>
        <v>#DIV/0!</v>
      </c>
      <c r="X111" s="205" t="e">
        <f t="shared" si="60"/>
        <v>#DIV/0!</v>
      </c>
      <c r="Y111" s="205" t="e">
        <f t="shared" si="60"/>
        <v>#DIV/0!</v>
      </c>
      <c r="Z111" s="205" t="e">
        <f t="shared" si="60"/>
        <v>#DIV/0!</v>
      </c>
      <c r="AA111" s="205" t="e">
        <f t="shared" si="60"/>
        <v>#DIV/0!</v>
      </c>
      <c r="AB111" s="205" t="e">
        <f t="shared" si="60"/>
        <v>#DIV/0!</v>
      </c>
      <c r="AC111" s="224" t="e">
        <f t="shared" si="55"/>
        <v>#DIV/0!</v>
      </c>
      <c r="AD111" s="210"/>
      <c r="AE111" s="210"/>
    </row>
    <row r="112" spans="1:31" ht="19.5" customHeight="1" thickTop="1">
      <c r="A112" s="554"/>
      <c r="B112" s="559">
        <f>$B$51</f>
        <v>0</v>
      </c>
      <c r="C112" s="556">
        <f aca="true" t="shared" si="65" ref="C112:N112">D51</f>
        <v>0</v>
      </c>
      <c r="D112" s="556">
        <f t="shared" si="65"/>
        <v>0</v>
      </c>
      <c r="E112" s="556">
        <f t="shared" si="65"/>
        <v>0</v>
      </c>
      <c r="F112" s="556">
        <f t="shared" si="65"/>
        <v>0</v>
      </c>
      <c r="G112" s="556">
        <f t="shared" si="65"/>
        <v>0</v>
      </c>
      <c r="H112" s="556">
        <f t="shared" si="65"/>
        <v>0</v>
      </c>
      <c r="I112" s="556">
        <f t="shared" si="65"/>
        <v>0</v>
      </c>
      <c r="J112" s="556">
        <f t="shared" si="65"/>
        <v>0</v>
      </c>
      <c r="K112" s="556">
        <f t="shared" si="65"/>
        <v>0</v>
      </c>
      <c r="L112" s="556">
        <f t="shared" si="65"/>
        <v>0</v>
      </c>
      <c r="M112" s="556">
        <f t="shared" si="65"/>
        <v>0</v>
      </c>
      <c r="N112" s="556">
        <f t="shared" si="65"/>
        <v>0</v>
      </c>
      <c r="O112" s="550"/>
      <c r="P112" s="204">
        <f t="shared" si="53"/>
        <v>0</v>
      </c>
      <c r="Q112" s="205" t="e">
        <f t="shared" si="60"/>
        <v>#DIV/0!</v>
      </c>
      <c r="R112" s="205" t="e">
        <f t="shared" si="60"/>
        <v>#DIV/0!</v>
      </c>
      <c r="S112" s="205" t="e">
        <f t="shared" si="60"/>
        <v>#DIV/0!</v>
      </c>
      <c r="T112" s="205" t="e">
        <f t="shared" si="60"/>
        <v>#DIV/0!</v>
      </c>
      <c r="U112" s="205" t="e">
        <f t="shared" si="60"/>
        <v>#DIV/0!</v>
      </c>
      <c r="V112" s="205" t="e">
        <f t="shared" si="60"/>
        <v>#DIV/0!</v>
      </c>
      <c r="W112" s="205" t="e">
        <f t="shared" si="60"/>
        <v>#DIV/0!</v>
      </c>
      <c r="X112" s="205" t="e">
        <f t="shared" si="60"/>
        <v>#DIV/0!</v>
      </c>
      <c r="Y112" s="205" t="e">
        <f t="shared" si="60"/>
        <v>#DIV/0!</v>
      </c>
      <c r="Z112" s="205" t="e">
        <f t="shared" si="60"/>
        <v>#DIV/0!</v>
      </c>
      <c r="AA112" s="205" t="e">
        <f t="shared" si="60"/>
        <v>#DIV/0!</v>
      </c>
      <c r="AB112" s="205" t="e">
        <f t="shared" si="60"/>
        <v>#DIV/0!</v>
      </c>
      <c r="AC112" s="224" t="e">
        <f t="shared" si="55"/>
        <v>#DIV/0!</v>
      </c>
      <c r="AD112" s="210"/>
      <c r="AE112" s="210"/>
    </row>
    <row r="113" spans="1:31" ht="19.5" customHeight="1" thickBot="1">
      <c r="A113" s="546">
        <v>10</v>
      </c>
      <c r="B113" s="557">
        <f>$B$51</f>
        <v>0</v>
      </c>
      <c r="C113" s="604"/>
      <c r="D113" s="604"/>
      <c r="E113" s="604"/>
      <c r="F113" s="604"/>
      <c r="G113" s="604"/>
      <c r="H113" s="604"/>
      <c r="I113" s="604"/>
      <c r="J113" s="604"/>
      <c r="K113" s="604"/>
      <c r="L113" s="604"/>
      <c r="M113" s="604"/>
      <c r="N113" s="604"/>
      <c r="O113" s="539">
        <f>MAX(C113:N113)</f>
        <v>0</v>
      </c>
      <c r="P113" s="204">
        <f t="shared" si="53"/>
        <v>0</v>
      </c>
      <c r="Q113" s="205" t="e">
        <f t="shared" si="60"/>
        <v>#DIV/0!</v>
      </c>
      <c r="R113" s="205" t="e">
        <f t="shared" si="60"/>
        <v>#DIV/0!</v>
      </c>
      <c r="S113" s="205" t="e">
        <f t="shared" si="60"/>
        <v>#DIV/0!</v>
      </c>
      <c r="T113" s="205" t="e">
        <f t="shared" si="60"/>
        <v>#DIV/0!</v>
      </c>
      <c r="U113" s="205" t="e">
        <f t="shared" si="60"/>
        <v>#DIV/0!</v>
      </c>
      <c r="V113" s="205" t="e">
        <f t="shared" si="60"/>
        <v>#DIV/0!</v>
      </c>
      <c r="W113" s="205" t="e">
        <f t="shared" si="60"/>
        <v>#DIV/0!</v>
      </c>
      <c r="X113" s="205" t="e">
        <f t="shared" si="60"/>
        <v>#DIV/0!</v>
      </c>
      <c r="Y113" s="205" t="e">
        <f t="shared" si="60"/>
        <v>#DIV/0!</v>
      </c>
      <c r="Z113" s="205" t="e">
        <f t="shared" si="60"/>
        <v>#DIV/0!</v>
      </c>
      <c r="AA113" s="205" t="e">
        <f t="shared" si="60"/>
        <v>#DIV/0!</v>
      </c>
      <c r="AB113" s="205" t="e">
        <f t="shared" si="60"/>
        <v>#DIV/0!</v>
      </c>
      <c r="AC113" s="224" t="e">
        <f t="shared" si="55"/>
        <v>#DIV/0!</v>
      </c>
      <c r="AD113" s="210"/>
      <c r="AE113" s="210"/>
    </row>
    <row r="114" spans="1:31" ht="19.5" customHeight="1" thickBot="1" thickTop="1">
      <c r="A114" s="547"/>
      <c r="B114" s="558">
        <f>$B$52</f>
        <v>0</v>
      </c>
      <c r="C114" s="549">
        <f aca="true" t="shared" si="66" ref="C114:N114">D52</f>
        <v>0</v>
      </c>
      <c r="D114" s="549">
        <f t="shared" si="66"/>
        <v>0</v>
      </c>
      <c r="E114" s="549">
        <f t="shared" si="66"/>
        <v>0</v>
      </c>
      <c r="F114" s="549">
        <f t="shared" si="66"/>
        <v>0</v>
      </c>
      <c r="G114" s="549">
        <f t="shared" si="66"/>
        <v>0</v>
      </c>
      <c r="H114" s="549">
        <f t="shared" si="66"/>
        <v>0</v>
      </c>
      <c r="I114" s="549">
        <f t="shared" si="66"/>
        <v>0</v>
      </c>
      <c r="J114" s="549">
        <f t="shared" si="66"/>
        <v>0</v>
      </c>
      <c r="K114" s="549">
        <f t="shared" si="66"/>
        <v>0</v>
      </c>
      <c r="L114" s="549">
        <f t="shared" si="66"/>
        <v>0</v>
      </c>
      <c r="M114" s="549">
        <f t="shared" si="66"/>
        <v>0</v>
      </c>
      <c r="N114" s="549">
        <f t="shared" si="66"/>
        <v>0</v>
      </c>
      <c r="O114" s="550"/>
      <c r="P114" s="204">
        <f t="shared" si="53"/>
        <v>0</v>
      </c>
      <c r="Q114" s="208" t="e">
        <f t="shared" si="60"/>
        <v>#DIV/0!</v>
      </c>
      <c r="R114" s="208" t="e">
        <f t="shared" si="60"/>
        <v>#DIV/0!</v>
      </c>
      <c r="S114" s="208" t="e">
        <f t="shared" si="60"/>
        <v>#DIV/0!</v>
      </c>
      <c r="T114" s="208" t="e">
        <f t="shared" si="60"/>
        <v>#DIV/0!</v>
      </c>
      <c r="U114" s="208" t="e">
        <f t="shared" si="60"/>
        <v>#DIV/0!</v>
      </c>
      <c r="V114" s="208" t="e">
        <f t="shared" si="60"/>
        <v>#DIV/0!</v>
      </c>
      <c r="W114" s="208" t="e">
        <f t="shared" si="60"/>
        <v>#DIV/0!</v>
      </c>
      <c r="X114" s="208" t="e">
        <f t="shared" si="60"/>
        <v>#DIV/0!</v>
      </c>
      <c r="Y114" s="208" t="e">
        <f t="shared" si="60"/>
        <v>#DIV/0!</v>
      </c>
      <c r="Z114" s="208" t="e">
        <f t="shared" si="60"/>
        <v>#DIV/0!</v>
      </c>
      <c r="AA114" s="208" t="e">
        <f t="shared" si="60"/>
        <v>#DIV/0!</v>
      </c>
      <c r="AB114" s="208" t="e">
        <f t="shared" si="60"/>
        <v>#DIV/0!</v>
      </c>
      <c r="AC114" s="224" t="e">
        <f t="shared" si="55"/>
        <v>#DIV/0!</v>
      </c>
      <c r="AD114" s="210"/>
      <c r="AE114" s="210"/>
    </row>
    <row r="115" spans="1:31" ht="19.5" customHeight="1" thickBot="1">
      <c r="A115" s="552">
        <v>11</v>
      </c>
      <c r="B115" s="553">
        <f>$B$52</f>
        <v>0</v>
      </c>
      <c r="C115" s="605"/>
      <c r="D115" s="605"/>
      <c r="E115" s="605"/>
      <c r="F115" s="605"/>
      <c r="G115" s="605"/>
      <c r="H115" s="605"/>
      <c r="I115" s="605"/>
      <c r="J115" s="605"/>
      <c r="K115" s="605"/>
      <c r="L115" s="605"/>
      <c r="M115" s="605"/>
      <c r="N115" s="605"/>
      <c r="O115" s="539">
        <f>MAX(C115:N115)</f>
        <v>0</v>
      </c>
      <c r="P115" s="246" t="s">
        <v>478</v>
      </c>
      <c r="Q115" s="205" t="e">
        <f>SUM(Q98:Q114)</f>
        <v>#DIV/0!</v>
      </c>
      <c r="R115" s="205" t="e">
        <f aca="true" t="shared" si="67" ref="R115:AB115">SUM(R98:R114)</f>
        <v>#DIV/0!</v>
      </c>
      <c r="S115" s="205" t="e">
        <f t="shared" si="67"/>
        <v>#DIV/0!</v>
      </c>
      <c r="T115" s="205" t="e">
        <f t="shared" si="67"/>
        <v>#DIV/0!</v>
      </c>
      <c r="U115" s="205" t="e">
        <f t="shared" si="67"/>
        <v>#DIV/0!</v>
      </c>
      <c r="V115" s="205" t="e">
        <f t="shared" si="67"/>
        <v>#DIV/0!</v>
      </c>
      <c r="W115" s="205" t="e">
        <f t="shared" si="67"/>
        <v>#DIV/0!</v>
      </c>
      <c r="X115" s="205" t="e">
        <f t="shared" si="67"/>
        <v>#DIV/0!</v>
      </c>
      <c r="Y115" s="205" t="e">
        <f t="shared" si="67"/>
        <v>#DIV/0!</v>
      </c>
      <c r="Z115" s="205" t="e">
        <f t="shared" si="67"/>
        <v>#DIV/0!</v>
      </c>
      <c r="AA115" s="205" t="e">
        <f t="shared" si="67"/>
        <v>#DIV/0!</v>
      </c>
      <c r="AB115" s="205" t="e">
        <f t="shared" si="67"/>
        <v>#DIV/0!</v>
      </c>
      <c r="AC115" s="170" t="e">
        <f>SUM(Q115:AB115)</f>
        <v>#DIV/0!</v>
      </c>
      <c r="AD115" s="210"/>
      <c r="AE115" s="210"/>
    </row>
    <row r="116" spans="1:31" ht="19.5" customHeight="1" thickBot="1" thickTop="1">
      <c r="A116" s="554"/>
      <c r="B116" s="559">
        <f>$B$53</f>
        <v>0</v>
      </c>
      <c r="C116" s="556">
        <f aca="true" t="shared" si="68" ref="C116:N116">D53</f>
        <v>0</v>
      </c>
      <c r="D116" s="556">
        <f t="shared" si="68"/>
        <v>0</v>
      </c>
      <c r="E116" s="556">
        <f t="shared" si="68"/>
        <v>0</v>
      </c>
      <c r="F116" s="556">
        <f t="shared" si="68"/>
        <v>0</v>
      </c>
      <c r="G116" s="556">
        <f t="shared" si="68"/>
        <v>0</v>
      </c>
      <c r="H116" s="556">
        <f t="shared" si="68"/>
        <v>0</v>
      </c>
      <c r="I116" s="556">
        <f t="shared" si="68"/>
        <v>0</v>
      </c>
      <c r="J116" s="556">
        <f t="shared" si="68"/>
        <v>0</v>
      </c>
      <c r="K116" s="556">
        <f t="shared" si="68"/>
        <v>0</v>
      </c>
      <c r="L116" s="556">
        <f t="shared" si="68"/>
        <v>0</v>
      </c>
      <c r="M116" s="556">
        <f t="shared" si="68"/>
        <v>0</v>
      </c>
      <c r="N116" s="556">
        <f t="shared" si="68"/>
        <v>0</v>
      </c>
      <c r="O116" s="550"/>
      <c r="P116" s="247" t="s">
        <v>479</v>
      </c>
      <c r="Q116" s="211"/>
      <c r="R116" s="244"/>
      <c r="S116" s="244"/>
      <c r="T116" s="244"/>
      <c r="U116" s="244"/>
      <c r="V116" s="244"/>
      <c r="W116" s="244"/>
      <c r="X116" s="244"/>
      <c r="Y116" s="244"/>
      <c r="Z116" s="244"/>
      <c r="AA116" s="248"/>
      <c r="AB116" s="249" t="s">
        <v>480</v>
      </c>
      <c r="AC116" s="250" t="e">
        <f>AC94/AC115*100</f>
        <v>#DIV/0!</v>
      </c>
      <c r="AD116" s="210"/>
      <c r="AE116" s="210"/>
    </row>
    <row r="117" spans="1:31" ht="19.5" customHeight="1" thickBot="1">
      <c r="A117" s="546">
        <v>12</v>
      </c>
      <c r="B117" s="557">
        <f>$B$53</f>
        <v>0</v>
      </c>
      <c r="C117" s="604"/>
      <c r="D117" s="604"/>
      <c r="E117" s="604"/>
      <c r="F117" s="604"/>
      <c r="G117" s="604"/>
      <c r="H117" s="604"/>
      <c r="I117" s="604"/>
      <c r="J117" s="604"/>
      <c r="K117" s="604"/>
      <c r="L117" s="604"/>
      <c r="M117" s="604"/>
      <c r="N117" s="604"/>
      <c r="O117" s="539">
        <f>MAX(C117:N117)</f>
        <v>0</v>
      </c>
      <c r="P117" s="251" t="s">
        <v>481</v>
      </c>
      <c r="Q117" s="211"/>
      <c r="R117" s="244"/>
      <c r="S117" s="244"/>
      <c r="T117" s="244"/>
      <c r="U117" s="244"/>
      <c r="V117" s="244"/>
      <c r="W117" s="244"/>
      <c r="X117" s="244"/>
      <c r="Y117" s="244"/>
      <c r="Z117" s="244"/>
      <c r="AA117" s="244"/>
      <c r="AB117" s="244"/>
      <c r="AC117" s="244"/>
      <c r="AD117" s="210"/>
      <c r="AE117" s="210"/>
    </row>
    <row r="118" spans="1:31" ht="19.5" customHeight="1" thickTop="1">
      <c r="A118" s="547"/>
      <c r="B118" s="558">
        <f>$B$54</f>
        <v>0</v>
      </c>
      <c r="C118" s="549">
        <f aca="true" t="shared" si="69" ref="C118:N118">D54</f>
        <v>0</v>
      </c>
      <c r="D118" s="549">
        <f t="shared" si="69"/>
        <v>0</v>
      </c>
      <c r="E118" s="549">
        <f t="shared" si="69"/>
        <v>0</v>
      </c>
      <c r="F118" s="549">
        <f t="shared" si="69"/>
        <v>0</v>
      </c>
      <c r="G118" s="549">
        <f t="shared" si="69"/>
        <v>0</v>
      </c>
      <c r="H118" s="549">
        <f t="shared" si="69"/>
        <v>0</v>
      </c>
      <c r="I118" s="549">
        <f t="shared" si="69"/>
        <v>0</v>
      </c>
      <c r="J118" s="549">
        <f t="shared" si="69"/>
        <v>0</v>
      </c>
      <c r="K118" s="549">
        <f t="shared" si="69"/>
        <v>0</v>
      </c>
      <c r="L118" s="549">
        <f t="shared" si="69"/>
        <v>0</v>
      </c>
      <c r="M118" s="549">
        <f t="shared" si="69"/>
        <v>0</v>
      </c>
      <c r="N118" s="549">
        <f t="shared" si="69"/>
        <v>0</v>
      </c>
      <c r="O118" s="550"/>
      <c r="P118" s="210"/>
      <c r="Q118" s="211"/>
      <c r="R118" s="244"/>
      <c r="S118" s="244"/>
      <c r="T118" s="244"/>
      <c r="U118" s="244"/>
      <c r="V118" s="244"/>
      <c r="W118" s="244"/>
      <c r="X118" s="244"/>
      <c r="Y118" s="244"/>
      <c r="Z118" s="244"/>
      <c r="AA118" s="244"/>
      <c r="AB118" s="244"/>
      <c r="AC118" s="244"/>
      <c r="AD118" s="210"/>
      <c r="AE118" s="210"/>
    </row>
    <row r="119" spans="1:31" ht="19.5" customHeight="1" thickBot="1">
      <c r="A119" s="552">
        <v>13</v>
      </c>
      <c r="B119" s="553">
        <f>$B$54</f>
        <v>0</v>
      </c>
      <c r="C119" s="605"/>
      <c r="D119" s="605"/>
      <c r="E119" s="605"/>
      <c r="F119" s="605"/>
      <c r="G119" s="605"/>
      <c r="H119" s="605"/>
      <c r="I119" s="605"/>
      <c r="J119" s="605"/>
      <c r="K119" s="605"/>
      <c r="L119" s="605"/>
      <c r="M119" s="605"/>
      <c r="N119" s="605"/>
      <c r="O119" s="539">
        <f>MAX(C119:N119)</f>
        <v>0</v>
      </c>
      <c r="P119" s="252" t="s">
        <v>1085</v>
      </c>
      <c r="Q119" s="222">
        <f aca="true" t="shared" si="70" ref="Q119:AB119">D40</f>
        <v>0</v>
      </c>
      <c r="R119" s="222">
        <f t="shared" si="70"/>
        <v>0</v>
      </c>
      <c r="S119" s="222">
        <f t="shared" si="70"/>
        <v>0</v>
      </c>
      <c r="T119" s="222">
        <f t="shared" si="70"/>
        <v>0</v>
      </c>
      <c r="U119" s="222">
        <f t="shared" si="70"/>
        <v>0</v>
      </c>
      <c r="V119" s="222">
        <f t="shared" si="70"/>
        <v>0</v>
      </c>
      <c r="W119" s="222">
        <f t="shared" si="70"/>
        <v>0</v>
      </c>
      <c r="X119" s="222">
        <f t="shared" si="70"/>
        <v>0</v>
      </c>
      <c r="Y119" s="222">
        <f t="shared" si="70"/>
        <v>0</v>
      </c>
      <c r="Z119" s="222">
        <f t="shared" si="70"/>
        <v>0</v>
      </c>
      <c r="AA119" s="222">
        <f t="shared" si="70"/>
        <v>0</v>
      </c>
      <c r="AB119" s="222">
        <f t="shared" si="70"/>
        <v>0</v>
      </c>
      <c r="AC119" s="245" t="s">
        <v>226</v>
      </c>
      <c r="AD119" s="210"/>
      <c r="AE119" s="210"/>
    </row>
    <row r="120" spans="1:31" ht="19.5" customHeight="1" thickTop="1">
      <c r="A120" s="554"/>
      <c r="B120" s="559">
        <f>$B$55</f>
        <v>0</v>
      </c>
      <c r="C120" s="556">
        <f aca="true" t="shared" si="71" ref="C120:N120">D55</f>
        <v>0</v>
      </c>
      <c r="D120" s="556">
        <f t="shared" si="71"/>
        <v>0</v>
      </c>
      <c r="E120" s="556">
        <f t="shared" si="71"/>
        <v>0</v>
      </c>
      <c r="F120" s="556">
        <f t="shared" si="71"/>
        <v>0</v>
      </c>
      <c r="G120" s="556">
        <f t="shared" si="71"/>
        <v>0</v>
      </c>
      <c r="H120" s="556">
        <f t="shared" si="71"/>
        <v>0</v>
      </c>
      <c r="I120" s="556">
        <f t="shared" si="71"/>
        <v>0</v>
      </c>
      <c r="J120" s="556">
        <f t="shared" si="71"/>
        <v>0</v>
      </c>
      <c r="K120" s="556">
        <f t="shared" si="71"/>
        <v>0</v>
      </c>
      <c r="L120" s="556">
        <f t="shared" si="71"/>
        <v>0</v>
      </c>
      <c r="M120" s="556">
        <f t="shared" si="71"/>
        <v>0</v>
      </c>
      <c r="N120" s="556">
        <f t="shared" si="71"/>
        <v>0</v>
      </c>
      <c r="O120" s="550"/>
      <c r="P120" s="253" t="str">
        <f aca="true" t="shared" si="72" ref="P120:P136">B42</f>
        <v>Paddy Rice #1</v>
      </c>
      <c r="Q120" s="241">
        <f aca="true" t="shared" si="73" ref="Q120:AB120">Q98+C259*C95/100000</f>
        <v>0</v>
      </c>
      <c r="R120" s="241">
        <f t="shared" si="73"/>
        <v>0</v>
      </c>
      <c r="S120" s="241">
        <f t="shared" si="73"/>
        <v>0</v>
      </c>
      <c r="T120" s="241">
        <f t="shared" si="73"/>
        <v>0</v>
      </c>
      <c r="U120" s="241">
        <f t="shared" si="73"/>
        <v>0</v>
      </c>
      <c r="V120" s="241">
        <f t="shared" si="73"/>
        <v>0</v>
      </c>
      <c r="W120" s="241">
        <f t="shared" si="73"/>
        <v>0</v>
      </c>
      <c r="X120" s="241">
        <f t="shared" si="73"/>
        <v>0</v>
      </c>
      <c r="Y120" s="241">
        <f t="shared" si="73"/>
        <v>0</v>
      </c>
      <c r="Z120" s="241">
        <f t="shared" si="73"/>
        <v>0</v>
      </c>
      <c r="AA120" s="241">
        <f t="shared" si="73"/>
        <v>0</v>
      </c>
      <c r="AB120" s="241">
        <f t="shared" si="73"/>
        <v>0</v>
      </c>
      <c r="AC120" s="224">
        <f aca="true" t="shared" si="74" ref="AC120:AC136">SUM(Q120:AB120)</f>
        <v>0</v>
      </c>
      <c r="AD120" s="210"/>
      <c r="AE120" s="210"/>
    </row>
    <row r="121" spans="1:31" ht="19.5" customHeight="1" thickBot="1">
      <c r="A121" s="546">
        <v>14</v>
      </c>
      <c r="B121" s="557">
        <f>$B$55</f>
        <v>0</v>
      </c>
      <c r="C121" s="604"/>
      <c r="D121" s="604"/>
      <c r="E121" s="604"/>
      <c r="F121" s="604"/>
      <c r="G121" s="604"/>
      <c r="H121" s="604"/>
      <c r="I121" s="604"/>
      <c r="J121" s="604"/>
      <c r="K121" s="604"/>
      <c r="L121" s="604"/>
      <c r="M121" s="604"/>
      <c r="N121" s="604"/>
      <c r="O121" s="539">
        <f>MAX(C121:N121)</f>
        <v>0</v>
      </c>
      <c r="P121" s="253" t="str">
        <f t="shared" si="72"/>
        <v>Paddy Rice #2</v>
      </c>
      <c r="Q121" s="241">
        <f aca="true" t="shared" si="75" ref="Q121:AB121">Q99+C260*C97/100000</f>
        <v>0</v>
      </c>
      <c r="R121" s="241">
        <f t="shared" si="75"/>
        <v>0</v>
      </c>
      <c r="S121" s="241">
        <f t="shared" si="75"/>
        <v>0</v>
      </c>
      <c r="T121" s="241">
        <f t="shared" si="75"/>
        <v>0</v>
      </c>
      <c r="U121" s="241">
        <f t="shared" si="75"/>
        <v>0</v>
      </c>
      <c r="V121" s="241">
        <f t="shared" si="75"/>
        <v>0</v>
      </c>
      <c r="W121" s="241">
        <f t="shared" si="75"/>
        <v>0</v>
      </c>
      <c r="X121" s="241">
        <f t="shared" si="75"/>
        <v>0</v>
      </c>
      <c r="Y121" s="241">
        <f t="shared" si="75"/>
        <v>0</v>
      </c>
      <c r="Z121" s="241">
        <f t="shared" si="75"/>
        <v>0</v>
      </c>
      <c r="AA121" s="241">
        <f t="shared" si="75"/>
        <v>0</v>
      </c>
      <c r="AB121" s="241">
        <f t="shared" si="75"/>
        <v>0</v>
      </c>
      <c r="AC121" s="224">
        <f t="shared" si="74"/>
        <v>0</v>
      </c>
      <c r="AD121" s="210"/>
      <c r="AE121" s="210"/>
    </row>
    <row r="122" spans="1:31" ht="19.5" customHeight="1" thickTop="1">
      <c r="A122" s="547"/>
      <c r="B122" s="558">
        <f>$B$56</f>
        <v>0</v>
      </c>
      <c r="C122" s="549">
        <f aca="true" t="shared" si="76" ref="C122:N122">D56</f>
        <v>0</v>
      </c>
      <c r="D122" s="549">
        <f t="shared" si="76"/>
        <v>0</v>
      </c>
      <c r="E122" s="549">
        <f t="shared" si="76"/>
        <v>0</v>
      </c>
      <c r="F122" s="549">
        <f t="shared" si="76"/>
        <v>0</v>
      </c>
      <c r="G122" s="549">
        <f t="shared" si="76"/>
        <v>0</v>
      </c>
      <c r="H122" s="549">
        <f t="shared" si="76"/>
        <v>0</v>
      </c>
      <c r="I122" s="549">
        <f t="shared" si="76"/>
        <v>0</v>
      </c>
      <c r="J122" s="549">
        <f t="shared" si="76"/>
        <v>0</v>
      </c>
      <c r="K122" s="549">
        <f t="shared" si="76"/>
        <v>0</v>
      </c>
      <c r="L122" s="549">
        <f t="shared" si="76"/>
        <v>0</v>
      </c>
      <c r="M122" s="549">
        <f t="shared" si="76"/>
        <v>0</v>
      </c>
      <c r="N122" s="549">
        <f t="shared" si="76"/>
        <v>0</v>
      </c>
      <c r="O122" s="550"/>
      <c r="P122" s="253" t="str">
        <f t="shared" si="72"/>
        <v>Paddy Rice #3</v>
      </c>
      <c r="Q122" s="241">
        <f aca="true" t="shared" si="77" ref="Q122:AB122">Q100+C261*C99/100000</f>
        <v>0</v>
      </c>
      <c r="R122" s="241">
        <f t="shared" si="77"/>
        <v>0</v>
      </c>
      <c r="S122" s="241">
        <f t="shared" si="77"/>
        <v>0</v>
      </c>
      <c r="T122" s="241">
        <f t="shared" si="77"/>
        <v>0</v>
      </c>
      <c r="U122" s="241">
        <f t="shared" si="77"/>
        <v>0</v>
      </c>
      <c r="V122" s="241">
        <f t="shared" si="77"/>
        <v>0</v>
      </c>
      <c r="W122" s="241">
        <f t="shared" si="77"/>
        <v>0</v>
      </c>
      <c r="X122" s="241">
        <f t="shared" si="77"/>
        <v>0</v>
      </c>
      <c r="Y122" s="241">
        <f t="shared" si="77"/>
        <v>0</v>
      </c>
      <c r="Z122" s="241">
        <f t="shared" si="77"/>
        <v>0</v>
      </c>
      <c r="AA122" s="241">
        <f t="shared" si="77"/>
        <v>0</v>
      </c>
      <c r="AB122" s="241">
        <f t="shared" si="77"/>
        <v>0</v>
      </c>
      <c r="AC122" s="224">
        <f t="shared" si="74"/>
        <v>0</v>
      </c>
      <c r="AD122" s="210"/>
      <c r="AE122" s="210"/>
    </row>
    <row r="123" spans="1:31" ht="19.5" customHeight="1" thickBot="1">
      <c r="A123" s="552">
        <v>15</v>
      </c>
      <c r="B123" s="553">
        <f>$B$56</f>
        <v>0</v>
      </c>
      <c r="C123" s="605"/>
      <c r="D123" s="605"/>
      <c r="E123" s="605"/>
      <c r="F123" s="605"/>
      <c r="G123" s="605"/>
      <c r="H123" s="605"/>
      <c r="I123" s="605"/>
      <c r="J123" s="605"/>
      <c r="K123" s="605"/>
      <c r="L123" s="605"/>
      <c r="M123" s="605"/>
      <c r="N123" s="605"/>
      <c r="O123" s="539">
        <f>MAX(C123:N123)</f>
        <v>0</v>
      </c>
      <c r="P123" s="253">
        <f t="shared" si="72"/>
        <v>0</v>
      </c>
      <c r="Q123" s="241" t="e">
        <f aca="true" t="shared" si="78" ref="Q123:AB123">Q101+C262*C101/100000</f>
        <v>#DIV/0!</v>
      </c>
      <c r="R123" s="241" t="e">
        <f t="shared" si="78"/>
        <v>#DIV/0!</v>
      </c>
      <c r="S123" s="241" t="e">
        <f t="shared" si="78"/>
        <v>#DIV/0!</v>
      </c>
      <c r="T123" s="241" t="e">
        <f t="shared" si="78"/>
        <v>#DIV/0!</v>
      </c>
      <c r="U123" s="241" t="e">
        <f t="shared" si="78"/>
        <v>#DIV/0!</v>
      </c>
      <c r="V123" s="241" t="e">
        <f t="shared" si="78"/>
        <v>#DIV/0!</v>
      </c>
      <c r="W123" s="241" t="e">
        <f t="shared" si="78"/>
        <v>#DIV/0!</v>
      </c>
      <c r="X123" s="241" t="e">
        <f t="shared" si="78"/>
        <v>#DIV/0!</v>
      </c>
      <c r="Y123" s="241" t="e">
        <f t="shared" si="78"/>
        <v>#DIV/0!</v>
      </c>
      <c r="Z123" s="241" t="e">
        <f t="shared" si="78"/>
        <v>#DIV/0!</v>
      </c>
      <c r="AA123" s="241" t="e">
        <f t="shared" si="78"/>
        <v>#DIV/0!</v>
      </c>
      <c r="AB123" s="241" t="e">
        <f t="shared" si="78"/>
        <v>#DIV/0!</v>
      </c>
      <c r="AC123" s="224" t="e">
        <f t="shared" si="74"/>
        <v>#DIV/0!</v>
      </c>
      <c r="AD123" s="210"/>
      <c r="AE123" s="210"/>
    </row>
    <row r="124" spans="1:31" ht="19.5" customHeight="1" thickTop="1">
      <c r="A124" s="554"/>
      <c r="B124" s="559">
        <f>$B$57</f>
        <v>0</v>
      </c>
      <c r="C124" s="556">
        <f aca="true" t="shared" si="79" ref="C124:N124">D57</f>
        <v>0</v>
      </c>
      <c r="D124" s="556">
        <f t="shared" si="79"/>
        <v>0</v>
      </c>
      <c r="E124" s="556">
        <f t="shared" si="79"/>
        <v>0</v>
      </c>
      <c r="F124" s="556">
        <f t="shared" si="79"/>
        <v>0</v>
      </c>
      <c r="G124" s="556">
        <f t="shared" si="79"/>
        <v>0</v>
      </c>
      <c r="H124" s="556">
        <f t="shared" si="79"/>
        <v>0</v>
      </c>
      <c r="I124" s="556">
        <f t="shared" si="79"/>
        <v>0</v>
      </c>
      <c r="J124" s="556">
        <f t="shared" si="79"/>
        <v>0</v>
      </c>
      <c r="K124" s="556">
        <f t="shared" si="79"/>
        <v>0</v>
      </c>
      <c r="L124" s="556">
        <f t="shared" si="79"/>
        <v>0</v>
      </c>
      <c r="M124" s="556">
        <f t="shared" si="79"/>
        <v>0</v>
      </c>
      <c r="N124" s="556">
        <f t="shared" si="79"/>
        <v>0</v>
      </c>
      <c r="O124" s="550"/>
      <c r="P124" s="253">
        <f t="shared" si="72"/>
        <v>0</v>
      </c>
      <c r="Q124" s="241" t="e">
        <f aca="true" t="shared" si="80" ref="Q124:AB124">Q102+C263*C103/100000</f>
        <v>#DIV/0!</v>
      </c>
      <c r="R124" s="241" t="e">
        <f t="shared" si="80"/>
        <v>#DIV/0!</v>
      </c>
      <c r="S124" s="241" t="e">
        <f t="shared" si="80"/>
        <v>#DIV/0!</v>
      </c>
      <c r="T124" s="241" t="e">
        <f t="shared" si="80"/>
        <v>#DIV/0!</v>
      </c>
      <c r="U124" s="241" t="e">
        <f t="shared" si="80"/>
        <v>#DIV/0!</v>
      </c>
      <c r="V124" s="241" t="e">
        <f t="shared" si="80"/>
        <v>#DIV/0!</v>
      </c>
      <c r="W124" s="241" t="e">
        <f t="shared" si="80"/>
        <v>#DIV/0!</v>
      </c>
      <c r="X124" s="241" t="e">
        <f t="shared" si="80"/>
        <v>#DIV/0!</v>
      </c>
      <c r="Y124" s="241" t="e">
        <f t="shared" si="80"/>
        <v>#DIV/0!</v>
      </c>
      <c r="Z124" s="241" t="e">
        <f t="shared" si="80"/>
        <v>#DIV/0!</v>
      </c>
      <c r="AA124" s="241" t="e">
        <f t="shared" si="80"/>
        <v>#DIV/0!</v>
      </c>
      <c r="AB124" s="241" t="e">
        <f t="shared" si="80"/>
        <v>#DIV/0!</v>
      </c>
      <c r="AC124" s="224" t="e">
        <f t="shared" si="74"/>
        <v>#DIV/0!</v>
      </c>
      <c r="AD124" s="210"/>
      <c r="AE124" s="210"/>
    </row>
    <row r="125" spans="1:31" ht="19.5" customHeight="1" thickBot="1">
      <c r="A125" s="546">
        <v>16</v>
      </c>
      <c r="B125" s="557">
        <f>$B$57</f>
        <v>0</v>
      </c>
      <c r="C125" s="604"/>
      <c r="D125" s="604"/>
      <c r="E125" s="604"/>
      <c r="F125" s="604"/>
      <c r="G125" s="604"/>
      <c r="H125" s="604"/>
      <c r="I125" s="604"/>
      <c r="J125" s="604"/>
      <c r="K125" s="604"/>
      <c r="L125" s="604"/>
      <c r="M125" s="604"/>
      <c r="N125" s="604"/>
      <c r="O125" s="539">
        <f>MAX(C125:N125)</f>
        <v>0</v>
      </c>
      <c r="P125" s="253">
        <f t="shared" si="72"/>
        <v>0</v>
      </c>
      <c r="Q125" s="241" t="e">
        <f aca="true" t="shared" si="81" ref="Q125:AB125">Q103+C264*C105/100000</f>
        <v>#DIV/0!</v>
      </c>
      <c r="R125" s="241" t="e">
        <f t="shared" si="81"/>
        <v>#DIV/0!</v>
      </c>
      <c r="S125" s="241" t="e">
        <f t="shared" si="81"/>
        <v>#DIV/0!</v>
      </c>
      <c r="T125" s="241" t="e">
        <f t="shared" si="81"/>
        <v>#DIV/0!</v>
      </c>
      <c r="U125" s="241" t="e">
        <f t="shared" si="81"/>
        <v>#DIV/0!</v>
      </c>
      <c r="V125" s="241" t="e">
        <f t="shared" si="81"/>
        <v>#DIV/0!</v>
      </c>
      <c r="W125" s="241" t="e">
        <f t="shared" si="81"/>
        <v>#DIV/0!</v>
      </c>
      <c r="X125" s="241" t="e">
        <f t="shared" si="81"/>
        <v>#DIV/0!</v>
      </c>
      <c r="Y125" s="241" t="e">
        <f t="shared" si="81"/>
        <v>#DIV/0!</v>
      </c>
      <c r="Z125" s="241" t="e">
        <f t="shared" si="81"/>
        <v>#DIV/0!</v>
      </c>
      <c r="AA125" s="241" t="e">
        <f t="shared" si="81"/>
        <v>#DIV/0!</v>
      </c>
      <c r="AB125" s="241" t="e">
        <f t="shared" si="81"/>
        <v>#DIV/0!</v>
      </c>
      <c r="AC125" s="224" t="e">
        <f t="shared" si="74"/>
        <v>#DIV/0!</v>
      </c>
      <c r="AD125" s="210"/>
      <c r="AE125" s="210"/>
    </row>
    <row r="126" spans="1:31" ht="19.5" customHeight="1" thickTop="1">
      <c r="A126" s="547"/>
      <c r="B126" s="558">
        <f>$B$58</f>
        <v>0</v>
      </c>
      <c r="C126" s="549">
        <f aca="true" t="shared" si="82" ref="C126:N126">D58</f>
        <v>0</v>
      </c>
      <c r="D126" s="549">
        <f t="shared" si="82"/>
        <v>0</v>
      </c>
      <c r="E126" s="549">
        <f t="shared" si="82"/>
        <v>0</v>
      </c>
      <c r="F126" s="549">
        <f t="shared" si="82"/>
        <v>0</v>
      </c>
      <c r="G126" s="549">
        <f t="shared" si="82"/>
        <v>0</v>
      </c>
      <c r="H126" s="549">
        <f t="shared" si="82"/>
        <v>0</v>
      </c>
      <c r="I126" s="549">
        <f t="shared" si="82"/>
        <v>0</v>
      </c>
      <c r="J126" s="549">
        <f t="shared" si="82"/>
        <v>0</v>
      </c>
      <c r="K126" s="549">
        <f t="shared" si="82"/>
        <v>0</v>
      </c>
      <c r="L126" s="549">
        <f t="shared" si="82"/>
        <v>0</v>
      </c>
      <c r="M126" s="549">
        <f t="shared" si="82"/>
        <v>0</v>
      </c>
      <c r="N126" s="549">
        <f t="shared" si="82"/>
        <v>0</v>
      </c>
      <c r="O126" s="550"/>
      <c r="P126" s="253">
        <f t="shared" si="72"/>
        <v>0</v>
      </c>
      <c r="Q126" s="241" t="e">
        <f aca="true" t="shared" si="83" ref="Q126:AB126">Q104+C265*C107/100000</f>
        <v>#DIV/0!</v>
      </c>
      <c r="R126" s="241" t="e">
        <f t="shared" si="83"/>
        <v>#DIV/0!</v>
      </c>
      <c r="S126" s="241" t="e">
        <f t="shared" si="83"/>
        <v>#DIV/0!</v>
      </c>
      <c r="T126" s="241" t="e">
        <f t="shared" si="83"/>
        <v>#DIV/0!</v>
      </c>
      <c r="U126" s="241" t="e">
        <f t="shared" si="83"/>
        <v>#DIV/0!</v>
      </c>
      <c r="V126" s="241" t="e">
        <f t="shared" si="83"/>
        <v>#DIV/0!</v>
      </c>
      <c r="W126" s="241" t="e">
        <f t="shared" si="83"/>
        <v>#DIV/0!</v>
      </c>
      <c r="X126" s="241" t="e">
        <f t="shared" si="83"/>
        <v>#DIV/0!</v>
      </c>
      <c r="Y126" s="241" t="e">
        <f t="shared" si="83"/>
        <v>#DIV/0!</v>
      </c>
      <c r="Z126" s="241" t="e">
        <f t="shared" si="83"/>
        <v>#DIV/0!</v>
      </c>
      <c r="AA126" s="241" t="e">
        <f t="shared" si="83"/>
        <v>#DIV/0!</v>
      </c>
      <c r="AB126" s="241" t="e">
        <f t="shared" si="83"/>
        <v>#DIV/0!</v>
      </c>
      <c r="AC126" s="224" t="e">
        <f t="shared" si="74"/>
        <v>#DIV/0!</v>
      </c>
      <c r="AD126" s="210"/>
      <c r="AE126" s="210"/>
    </row>
    <row r="127" spans="1:31" ht="19.5" customHeight="1" thickBot="1">
      <c r="A127" s="546">
        <v>17</v>
      </c>
      <c r="B127" s="557">
        <f>$B$58</f>
        <v>0</v>
      </c>
      <c r="C127" s="604"/>
      <c r="D127" s="604"/>
      <c r="E127" s="604"/>
      <c r="F127" s="604"/>
      <c r="G127" s="604"/>
      <c r="H127" s="604"/>
      <c r="I127" s="604"/>
      <c r="J127" s="604"/>
      <c r="K127" s="604"/>
      <c r="L127" s="604"/>
      <c r="M127" s="604"/>
      <c r="N127" s="604"/>
      <c r="O127" s="539">
        <f>MAX(C127:N127)</f>
        <v>0</v>
      </c>
      <c r="P127" s="253">
        <f t="shared" si="72"/>
        <v>0</v>
      </c>
      <c r="Q127" s="241" t="e">
        <f aca="true" t="shared" si="84" ref="Q127:AB127">Q105+C266*C109/100000</f>
        <v>#DIV/0!</v>
      </c>
      <c r="R127" s="241" t="e">
        <f t="shared" si="84"/>
        <v>#DIV/0!</v>
      </c>
      <c r="S127" s="241" t="e">
        <f t="shared" si="84"/>
        <v>#DIV/0!</v>
      </c>
      <c r="T127" s="241" t="e">
        <f t="shared" si="84"/>
        <v>#DIV/0!</v>
      </c>
      <c r="U127" s="241" t="e">
        <f t="shared" si="84"/>
        <v>#DIV/0!</v>
      </c>
      <c r="V127" s="241" t="e">
        <f t="shared" si="84"/>
        <v>#DIV/0!</v>
      </c>
      <c r="W127" s="241" t="e">
        <f t="shared" si="84"/>
        <v>#DIV/0!</v>
      </c>
      <c r="X127" s="241" t="e">
        <f t="shared" si="84"/>
        <v>#DIV/0!</v>
      </c>
      <c r="Y127" s="241" t="e">
        <f t="shared" si="84"/>
        <v>#DIV/0!</v>
      </c>
      <c r="Z127" s="241" t="e">
        <f t="shared" si="84"/>
        <v>#DIV/0!</v>
      </c>
      <c r="AA127" s="241" t="e">
        <f t="shared" si="84"/>
        <v>#DIV/0!</v>
      </c>
      <c r="AB127" s="241" t="e">
        <f t="shared" si="84"/>
        <v>#DIV/0!</v>
      </c>
      <c r="AC127" s="224" t="e">
        <f t="shared" si="74"/>
        <v>#DIV/0!</v>
      </c>
      <c r="AD127" s="210"/>
      <c r="AE127" s="210"/>
    </row>
    <row r="128" spans="1:31" ht="19.5" customHeight="1" thickBot="1" thickTop="1">
      <c r="A128" s="443"/>
      <c r="B128" s="606" t="s">
        <v>482</v>
      </c>
      <c r="C128" s="561">
        <f aca="true" t="shared" si="85" ref="C128:M128">C95+C97+C99+C101+C103+C105+C107+C109+C111+C113+C115+C117+C119+C121+C123+C125+C127</f>
        <v>0</v>
      </c>
      <c r="D128" s="561">
        <f t="shared" si="85"/>
        <v>0</v>
      </c>
      <c r="E128" s="561">
        <f t="shared" si="85"/>
        <v>0</v>
      </c>
      <c r="F128" s="561">
        <f t="shared" si="85"/>
        <v>0</v>
      </c>
      <c r="G128" s="561">
        <f t="shared" si="85"/>
        <v>0</v>
      </c>
      <c r="H128" s="561">
        <f t="shared" si="85"/>
        <v>0</v>
      </c>
      <c r="I128" s="561">
        <f t="shared" si="85"/>
        <v>0</v>
      </c>
      <c r="J128" s="561">
        <f t="shared" si="85"/>
        <v>0</v>
      </c>
      <c r="K128" s="561">
        <f t="shared" si="85"/>
        <v>0</v>
      </c>
      <c r="L128" s="561">
        <f t="shared" si="85"/>
        <v>0</v>
      </c>
      <c r="M128" s="561">
        <f t="shared" si="85"/>
        <v>0</v>
      </c>
      <c r="N128" s="562">
        <f>N95+N97+N99+N101+N103+N105+N107+N109+N111+N113+N115+N117+N119+N121+N123+N125+N127</f>
        <v>0</v>
      </c>
      <c r="O128" s="563">
        <f>O95+O97+O99+O101+O103+O105+O107+O109+O111+O113+O115+O117+O119+O121+O123+O125+O127</f>
        <v>0</v>
      </c>
      <c r="P128" s="253">
        <f t="shared" si="72"/>
        <v>0</v>
      </c>
      <c r="Q128" s="241" t="e">
        <f aca="true" t="shared" si="86" ref="Q128:AB128">Q106+C267*C111/100000</f>
        <v>#DIV/0!</v>
      </c>
      <c r="R128" s="241" t="e">
        <f t="shared" si="86"/>
        <v>#DIV/0!</v>
      </c>
      <c r="S128" s="241" t="e">
        <f t="shared" si="86"/>
        <v>#DIV/0!</v>
      </c>
      <c r="T128" s="241" t="e">
        <f t="shared" si="86"/>
        <v>#DIV/0!</v>
      </c>
      <c r="U128" s="241" t="e">
        <f t="shared" si="86"/>
        <v>#DIV/0!</v>
      </c>
      <c r="V128" s="241" t="e">
        <f t="shared" si="86"/>
        <v>#DIV/0!</v>
      </c>
      <c r="W128" s="241" t="e">
        <f t="shared" si="86"/>
        <v>#DIV/0!</v>
      </c>
      <c r="X128" s="241" t="e">
        <f t="shared" si="86"/>
        <v>#DIV/0!</v>
      </c>
      <c r="Y128" s="241" t="e">
        <f t="shared" si="86"/>
        <v>#DIV/0!</v>
      </c>
      <c r="Z128" s="241" t="e">
        <f t="shared" si="86"/>
        <v>#DIV/0!</v>
      </c>
      <c r="AA128" s="241" t="e">
        <f t="shared" si="86"/>
        <v>#DIV/0!</v>
      </c>
      <c r="AB128" s="241" t="e">
        <f t="shared" si="86"/>
        <v>#DIV/0!</v>
      </c>
      <c r="AC128" s="224" t="e">
        <f t="shared" si="74"/>
        <v>#DIV/0!</v>
      </c>
      <c r="AD128" s="210"/>
      <c r="AE128" s="210"/>
    </row>
    <row r="129" spans="1:31" ht="19.5" customHeight="1">
      <c r="A129" s="443"/>
      <c r="B129" s="655"/>
      <c r="C129" s="539"/>
      <c r="D129" s="539"/>
      <c r="E129" s="539"/>
      <c r="F129" s="539"/>
      <c r="G129" s="539"/>
      <c r="H129" s="539"/>
      <c r="I129" s="539"/>
      <c r="J129" s="539"/>
      <c r="K129" s="539"/>
      <c r="L129" s="539"/>
      <c r="M129" s="539"/>
      <c r="N129" s="539"/>
      <c r="O129" s="539"/>
      <c r="P129" s="253">
        <f t="shared" si="72"/>
        <v>0</v>
      </c>
      <c r="Q129" s="241" t="e">
        <f aca="true" t="shared" si="87" ref="Q129:AB129">Q107+C268*C113/100000</f>
        <v>#DIV/0!</v>
      </c>
      <c r="R129" s="241" t="e">
        <f t="shared" si="87"/>
        <v>#DIV/0!</v>
      </c>
      <c r="S129" s="241" t="e">
        <f t="shared" si="87"/>
        <v>#DIV/0!</v>
      </c>
      <c r="T129" s="241" t="e">
        <f t="shared" si="87"/>
        <v>#DIV/0!</v>
      </c>
      <c r="U129" s="241" t="e">
        <f t="shared" si="87"/>
        <v>#DIV/0!</v>
      </c>
      <c r="V129" s="241" t="e">
        <f t="shared" si="87"/>
        <v>#DIV/0!</v>
      </c>
      <c r="W129" s="241" t="e">
        <f t="shared" si="87"/>
        <v>#DIV/0!</v>
      </c>
      <c r="X129" s="241" t="e">
        <f t="shared" si="87"/>
        <v>#DIV/0!</v>
      </c>
      <c r="Y129" s="241" t="e">
        <f t="shared" si="87"/>
        <v>#DIV/0!</v>
      </c>
      <c r="Z129" s="241" t="e">
        <f t="shared" si="87"/>
        <v>#DIV/0!</v>
      </c>
      <c r="AA129" s="241" t="e">
        <f t="shared" si="87"/>
        <v>#DIV/0!</v>
      </c>
      <c r="AB129" s="241" t="e">
        <f t="shared" si="87"/>
        <v>#DIV/0!</v>
      </c>
      <c r="AC129" s="224" t="e">
        <f t="shared" si="74"/>
        <v>#DIV/0!</v>
      </c>
      <c r="AD129" s="210"/>
      <c r="AE129" s="210"/>
    </row>
    <row r="130" spans="1:31" ht="25.5">
      <c r="A130" s="254" t="s">
        <v>311</v>
      </c>
      <c r="B130" s="152"/>
      <c r="C130" s="152"/>
      <c r="D130" s="152"/>
      <c r="E130" s="152"/>
      <c r="F130" s="152"/>
      <c r="G130" s="152"/>
      <c r="H130" s="152"/>
      <c r="I130" s="152"/>
      <c r="J130" s="152"/>
      <c r="K130" s="152"/>
      <c r="L130" s="152"/>
      <c r="M130" s="152"/>
      <c r="N130" s="152"/>
      <c r="O130" s="152"/>
      <c r="P130" s="253">
        <f t="shared" si="72"/>
        <v>0</v>
      </c>
      <c r="Q130" s="241" t="e">
        <f aca="true" t="shared" si="88" ref="Q130:AB130">Q108+C269*C115/100000</f>
        <v>#DIV/0!</v>
      </c>
      <c r="R130" s="241" t="e">
        <f t="shared" si="88"/>
        <v>#DIV/0!</v>
      </c>
      <c r="S130" s="241" t="e">
        <f t="shared" si="88"/>
        <v>#DIV/0!</v>
      </c>
      <c r="T130" s="241" t="e">
        <f t="shared" si="88"/>
        <v>#DIV/0!</v>
      </c>
      <c r="U130" s="241" t="e">
        <f t="shared" si="88"/>
        <v>#DIV/0!</v>
      </c>
      <c r="V130" s="241" t="e">
        <f t="shared" si="88"/>
        <v>#DIV/0!</v>
      </c>
      <c r="W130" s="241" t="e">
        <f t="shared" si="88"/>
        <v>#DIV/0!</v>
      </c>
      <c r="X130" s="241" t="e">
        <f t="shared" si="88"/>
        <v>#DIV/0!</v>
      </c>
      <c r="Y130" s="241" t="e">
        <f t="shared" si="88"/>
        <v>#DIV/0!</v>
      </c>
      <c r="Z130" s="241" t="e">
        <f t="shared" si="88"/>
        <v>#DIV/0!</v>
      </c>
      <c r="AA130" s="241" t="e">
        <f t="shared" si="88"/>
        <v>#DIV/0!</v>
      </c>
      <c r="AB130" s="241" t="e">
        <f t="shared" si="88"/>
        <v>#DIV/0!</v>
      </c>
      <c r="AC130" s="224" t="e">
        <f t="shared" si="74"/>
        <v>#DIV/0!</v>
      </c>
      <c r="AD130" s="210"/>
      <c r="AE130" s="210"/>
    </row>
    <row r="131" spans="1:31" ht="20.25">
      <c r="A131" s="254"/>
      <c r="B131" s="152"/>
      <c r="C131" s="152"/>
      <c r="D131" s="152"/>
      <c r="E131" s="152"/>
      <c r="F131" s="152"/>
      <c r="G131" s="152"/>
      <c r="H131" s="152"/>
      <c r="I131" s="152"/>
      <c r="J131" s="152"/>
      <c r="K131" s="152"/>
      <c r="L131" s="152"/>
      <c r="M131" s="152"/>
      <c r="N131" s="152"/>
      <c r="O131" s="152"/>
      <c r="P131" s="253">
        <f t="shared" si="72"/>
        <v>0</v>
      </c>
      <c r="Q131" s="241" t="e">
        <f aca="true" t="shared" si="89" ref="Q131:AB131">Q109+C270*C117/100000</f>
        <v>#DIV/0!</v>
      </c>
      <c r="R131" s="241" t="e">
        <f t="shared" si="89"/>
        <v>#DIV/0!</v>
      </c>
      <c r="S131" s="241" t="e">
        <f t="shared" si="89"/>
        <v>#DIV/0!</v>
      </c>
      <c r="T131" s="241" t="e">
        <f t="shared" si="89"/>
        <v>#DIV/0!</v>
      </c>
      <c r="U131" s="241" t="e">
        <f t="shared" si="89"/>
        <v>#DIV/0!</v>
      </c>
      <c r="V131" s="241" t="e">
        <f t="shared" si="89"/>
        <v>#DIV/0!</v>
      </c>
      <c r="W131" s="241" t="e">
        <f t="shared" si="89"/>
        <v>#DIV/0!</v>
      </c>
      <c r="X131" s="241" t="e">
        <f t="shared" si="89"/>
        <v>#DIV/0!</v>
      </c>
      <c r="Y131" s="241" t="e">
        <f t="shared" si="89"/>
        <v>#DIV/0!</v>
      </c>
      <c r="Z131" s="241" t="e">
        <f t="shared" si="89"/>
        <v>#DIV/0!</v>
      </c>
      <c r="AA131" s="241" t="e">
        <f t="shared" si="89"/>
        <v>#DIV/0!</v>
      </c>
      <c r="AB131" s="241" t="e">
        <f t="shared" si="89"/>
        <v>#DIV/0!</v>
      </c>
      <c r="AC131" s="224" t="e">
        <f t="shared" si="74"/>
        <v>#DIV/0!</v>
      </c>
      <c r="AD131" s="210"/>
      <c r="AE131" s="210"/>
    </row>
    <row r="132" spans="1:31" ht="15.75">
      <c r="A132" s="152"/>
      <c r="B132" s="176"/>
      <c r="C132" s="176"/>
      <c r="D132" s="176"/>
      <c r="E132" s="260"/>
      <c r="F132" s="152"/>
      <c r="G132" s="152"/>
      <c r="H132" s="152"/>
      <c r="I132" s="152"/>
      <c r="J132" s="152"/>
      <c r="K132" s="152"/>
      <c r="L132" s="152"/>
      <c r="M132" s="152"/>
      <c r="N132" s="152"/>
      <c r="O132" s="152"/>
      <c r="P132" s="253">
        <f t="shared" si="72"/>
        <v>0</v>
      </c>
      <c r="Q132" s="241" t="e">
        <f aca="true" t="shared" si="90" ref="Q132:AB132">Q110+C271*C119/100000</f>
        <v>#DIV/0!</v>
      </c>
      <c r="R132" s="241" t="e">
        <f t="shared" si="90"/>
        <v>#DIV/0!</v>
      </c>
      <c r="S132" s="241" t="e">
        <f t="shared" si="90"/>
        <v>#DIV/0!</v>
      </c>
      <c r="T132" s="241" t="e">
        <f t="shared" si="90"/>
        <v>#DIV/0!</v>
      </c>
      <c r="U132" s="241" t="e">
        <f t="shared" si="90"/>
        <v>#DIV/0!</v>
      </c>
      <c r="V132" s="241" t="e">
        <f t="shared" si="90"/>
        <v>#DIV/0!</v>
      </c>
      <c r="W132" s="241" t="e">
        <f t="shared" si="90"/>
        <v>#DIV/0!</v>
      </c>
      <c r="X132" s="241" t="e">
        <f t="shared" si="90"/>
        <v>#DIV/0!</v>
      </c>
      <c r="Y132" s="241" t="e">
        <f t="shared" si="90"/>
        <v>#DIV/0!</v>
      </c>
      <c r="Z132" s="241" t="e">
        <f t="shared" si="90"/>
        <v>#DIV/0!</v>
      </c>
      <c r="AA132" s="241" t="e">
        <f t="shared" si="90"/>
        <v>#DIV/0!</v>
      </c>
      <c r="AB132" s="241" t="e">
        <f t="shared" si="90"/>
        <v>#DIV/0!</v>
      </c>
      <c r="AC132" s="224" t="e">
        <f t="shared" si="74"/>
        <v>#DIV/0!</v>
      </c>
      <c r="AD132" s="210"/>
      <c r="AE132" s="210"/>
    </row>
    <row r="133" spans="1:31" ht="23.25">
      <c r="A133" s="269" t="s">
        <v>348</v>
      </c>
      <c r="B133" s="270"/>
      <c r="C133" s="152"/>
      <c r="D133" s="152"/>
      <c r="E133" s="152"/>
      <c r="F133" s="152"/>
      <c r="G133" s="152"/>
      <c r="H133" s="152"/>
      <c r="I133" s="152"/>
      <c r="J133" s="152"/>
      <c r="K133" s="152"/>
      <c r="L133" s="152"/>
      <c r="M133" s="152"/>
      <c r="N133" s="152"/>
      <c r="O133" s="152"/>
      <c r="P133" s="253">
        <f t="shared" si="72"/>
        <v>0</v>
      </c>
      <c r="Q133" s="241" t="e">
        <f aca="true" t="shared" si="91" ref="Q133:AB133">Q111+C272*C121/100000</f>
        <v>#DIV/0!</v>
      </c>
      <c r="R133" s="241" t="e">
        <f t="shared" si="91"/>
        <v>#DIV/0!</v>
      </c>
      <c r="S133" s="241" t="e">
        <f t="shared" si="91"/>
        <v>#DIV/0!</v>
      </c>
      <c r="T133" s="241" t="e">
        <f t="shared" si="91"/>
        <v>#DIV/0!</v>
      </c>
      <c r="U133" s="241" t="e">
        <f t="shared" si="91"/>
        <v>#DIV/0!</v>
      </c>
      <c r="V133" s="241" t="e">
        <f t="shared" si="91"/>
        <v>#DIV/0!</v>
      </c>
      <c r="W133" s="241" t="e">
        <f t="shared" si="91"/>
        <v>#DIV/0!</v>
      </c>
      <c r="X133" s="241" t="e">
        <f t="shared" si="91"/>
        <v>#DIV/0!</v>
      </c>
      <c r="Y133" s="241" t="e">
        <f t="shared" si="91"/>
        <v>#DIV/0!</v>
      </c>
      <c r="Z133" s="241" t="e">
        <f t="shared" si="91"/>
        <v>#DIV/0!</v>
      </c>
      <c r="AA133" s="241" t="e">
        <f t="shared" si="91"/>
        <v>#DIV/0!</v>
      </c>
      <c r="AB133" s="241" t="e">
        <f t="shared" si="91"/>
        <v>#DIV/0!</v>
      </c>
      <c r="AC133" s="224" t="e">
        <f t="shared" si="74"/>
        <v>#DIV/0!</v>
      </c>
      <c r="AD133" s="210"/>
      <c r="AE133" s="210"/>
    </row>
    <row r="134" spans="1:31" ht="15.75">
      <c r="A134" s="152"/>
      <c r="B134" s="509" t="s">
        <v>228</v>
      </c>
      <c r="C134" s="510">
        <f aca="true" t="shared" si="92" ref="C134:N134">D40</f>
        <v>0</v>
      </c>
      <c r="D134" s="511">
        <f t="shared" si="92"/>
        <v>0</v>
      </c>
      <c r="E134" s="511">
        <f t="shared" si="92"/>
        <v>0</v>
      </c>
      <c r="F134" s="511">
        <f t="shared" si="92"/>
        <v>0</v>
      </c>
      <c r="G134" s="511">
        <f t="shared" si="92"/>
        <v>0</v>
      </c>
      <c r="H134" s="511">
        <f t="shared" si="92"/>
        <v>0</v>
      </c>
      <c r="I134" s="511">
        <f t="shared" si="92"/>
        <v>0</v>
      </c>
      <c r="J134" s="511">
        <f t="shared" si="92"/>
        <v>0</v>
      </c>
      <c r="K134" s="511">
        <f t="shared" si="92"/>
        <v>0</v>
      </c>
      <c r="L134" s="511">
        <f t="shared" si="92"/>
        <v>0</v>
      </c>
      <c r="M134" s="511">
        <f t="shared" si="92"/>
        <v>0</v>
      </c>
      <c r="N134" s="511">
        <f t="shared" si="92"/>
        <v>0</v>
      </c>
      <c r="O134" s="512" t="s">
        <v>229</v>
      </c>
      <c r="P134" s="253">
        <f t="shared" si="72"/>
        <v>0</v>
      </c>
      <c r="Q134" s="241" t="e">
        <f aca="true" t="shared" si="93" ref="Q134:AB134">Q112+C273*C123/100000</f>
        <v>#DIV/0!</v>
      </c>
      <c r="R134" s="241" t="e">
        <f t="shared" si="93"/>
        <v>#DIV/0!</v>
      </c>
      <c r="S134" s="241" t="e">
        <f t="shared" si="93"/>
        <v>#DIV/0!</v>
      </c>
      <c r="T134" s="241" t="e">
        <f t="shared" si="93"/>
        <v>#DIV/0!</v>
      </c>
      <c r="U134" s="241" t="e">
        <f t="shared" si="93"/>
        <v>#DIV/0!</v>
      </c>
      <c r="V134" s="241" t="e">
        <f t="shared" si="93"/>
        <v>#DIV/0!</v>
      </c>
      <c r="W134" s="241" t="e">
        <f t="shared" si="93"/>
        <v>#DIV/0!</v>
      </c>
      <c r="X134" s="241" t="e">
        <f t="shared" si="93"/>
        <v>#DIV/0!</v>
      </c>
      <c r="Y134" s="241" t="e">
        <f t="shared" si="93"/>
        <v>#DIV/0!</v>
      </c>
      <c r="Z134" s="241" t="e">
        <f t="shared" si="93"/>
        <v>#DIV/0!</v>
      </c>
      <c r="AA134" s="241" t="e">
        <f t="shared" si="93"/>
        <v>#DIV/0!</v>
      </c>
      <c r="AB134" s="241" t="e">
        <f t="shared" si="93"/>
        <v>#DIV/0!</v>
      </c>
      <c r="AC134" s="224" t="e">
        <f t="shared" si="74"/>
        <v>#DIV/0!</v>
      </c>
      <c r="AD134" s="210"/>
      <c r="AE134" s="210"/>
    </row>
    <row r="135" spans="1:31" ht="33.75" customHeight="1">
      <c r="A135" s="152"/>
      <c r="B135" s="528" t="s">
        <v>322</v>
      </c>
      <c r="C135" s="611"/>
      <c r="D135" s="612"/>
      <c r="E135" s="612"/>
      <c r="F135" s="612"/>
      <c r="G135" s="612"/>
      <c r="H135" s="612"/>
      <c r="I135" s="612"/>
      <c r="J135" s="612"/>
      <c r="K135" s="612"/>
      <c r="L135" s="612"/>
      <c r="M135" s="612"/>
      <c r="N135" s="612"/>
      <c r="O135" s="613">
        <f>SUM(C135:N135)</f>
        <v>0</v>
      </c>
      <c r="P135" s="253">
        <f t="shared" si="72"/>
        <v>0</v>
      </c>
      <c r="Q135" s="241" t="e">
        <f aca="true" t="shared" si="94" ref="Q135:AB135">Q113+C274*C125/100000</f>
        <v>#DIV/0!</v>
      </c>
      <c r="R135" s="241" t="e">
        <f t="shared" si="94"/>
        <v>#DIV/0!</v>
      </c>
      <c r="S135" s="241" t="e">
        <f t="shared" si="94"/>
        <v>#DIV/0!</v>
      </c>
      <c r="T135" s="241" t="e">
        <f t="shared" si="94"/>
        <v>#DIV/0!</v>
      </c>
      <c r="U135" s="241" t="e">
        <f t="shared" si="94"/>
        <v>#DIV/0!</v>
      </c>
      <c r="V135" s="241" t="e">
        <f t="shared" si="94"/>
        <v>#DIV/0!</v>
      </c>
      <c r="W135" s="241" t="e">
        <f t="shared" si="94"/>
        <v>#DIV/0!</v>
      </c>
      <c r="X135" s="241" t="e">
        <f t="shared" si="94"/>
        <v>#DIV/0!</v>
      </c>
      <c r="Y135" s="241" t="e">
        <f t="shared" si="94"/>
        <v>#DIV/0!</v>
      </c>
      <c r="Z135" s="241" t="e">
        <f t="shared" si="94"/>
        <v>#DIV/0!</v>
      </c>
      <c r="AA135" s="241" t="e">
        <f t="shared" si="94"/>
        <v>#DIV/0!</v>
      </c>
      <c r="AB135" s="241" t="e">
        <f t="shared" si="94"/>
        <v>#DIV/0!</v>
      </c>
      <c r="AC135" s="224" t="e">
        <f t="shared" si="74"/>
        <v>#DIV/0!</v>
      </c>
      <c r="AD135" s="210"/>
      <c r="AE135" s="210"/>
    </row>
    <row r="136" spans="1:31" ht="33" thickBot="1">
      <c r="A136" s="152"/>
      <c r="B136" s="565" t="s">
        <v>323</v>
      </c>
      <c r="C136" s="614"/>
      <c r="D136" s="615"/>
      <c r="E136" s="615"/>
      <c r="F136" s="615"/>
      <c r="G136" s="615"/>
      <c r="H136" s="615"/>
      <c r="I136" s="615"/>
      <c r="J136" s="615"/>
      <c r="K136" s="615"/>
      <c r="L136" s="615"/>
      <c r="M136" s="615"/>
      <c r="N136" s="615"/>
      <c r="O136" s="616">
        <f>SUM(C136:N136)</f>
        <v>0</v>
      </c>
      <c r="P136" s="253">
        <f t="shared" si="72"/>
        <v>0</v>
      </c>
      <c r="Q136" s="255" t="e">
        <f aca="true" t="shared" si="95" ref="Q136:AB136">Q114+C275*C127/100000</f>
        <v>#DIV/0!</v>
      </c>
      <c r="R136" s="255" t="e">
        <f t="shared" si="95"/>
        <v>#DIV/0!</v>
      </c>
      <c r="S136" s="255" t="e">
        <f t="shared" si="95"/>
        <v>#DIV/0!</v>
      </c>
      <c r="T136" s="255" t="e">
        <f t="shared" si="95"/>
        <v>#DIV/0!</v>
      </c>
      <c r="U136" s="255" t="e">
        <f t="shared" si="95"/>
        <v>#DIV/0!</v>
      </c>
      <c r="V136" s="255" t="e">
        <f t="shared" si="95"/>
        <v>#DIV/0!</v>
      </c>
      <c r="W136" s="255" t="e">
        <f t="shared" si="95"/>
        <v>#DIV/0!</v>
      </c>
      <c r="X136" s="255" t="e">
        <f t="shared" si="95"/>
        <v>#DIV/0!</v>
      </c>
      <c r="Y136" s="255" t="e">
        <f t="shared" si="95"/>
        <v>#DIV/0!</v>
      </c>
      <c r="Z136" s="255" t="e">
        <f t="shared" si="95"/>
        <v>#DIV/0!</v>
      </c>
      <c r="AA136" s="255" t="e">
        <f t="shared" si="95"/>
        <v>#DIV/0!</v>
      </c>
      <c r="AB136" s="255" t="e">
        <f t="shared" si="95"/>
        <v>#DIV/0!</v>
      </c>
      <c r="AC136" s="224" t="e">
        <f t="shared" si="74"/>
        <v>#DIV/0!</v>
      </c>
      <c r="AD136" s="210"/>
      <c r="AE136" s="210"/>
    </row>
    <row r="137" spans="1:31" ht="38.25" customHeight="1">
      <c r="A137" s="152"/>
      <c r="B137" s="566" t="s">
        <v>32</v>
      </c>
      <c r="C137" s="617"/>
      <c r="D137" s="618"/>
      <c r="E137" s="618"/>
      <c r="F137" s="618"/>
      <c r="G137" s="618"/>
      <c r="H137" s="618"/>
      <c r="I137" s="618"/>
      <c r="J137" s="618"/>
      <c r="K137" s="618"/>
      <c r="L137" s="618"/>
      <c r="M137" s="618"/>
      <c r="N137" s="618"/>
      <c r="O137" s="619">
        <f>SUM(C137:N137)</f>
        <v>0</v>
      </c>
      <c r="P137" s="240" t="s">
        <v>478</v>
      </c>
      <c r="Q137" s="241" t="e">
        <f aca="true" t="shared" si="96" ref="Q137:AB137">SUM(Q120:Q136)</f>
        <v>#DIV/0!</v>
      </c>
      <c r="R137" s="241" t="e">
        <f t="shared" si="96"/>
        <v>#DIV/0!</v>
      </c>
      <c r="S137" s="241" t="e">
        <f t="shared" si="96"/>
        <v>#DIV/0!</v>
      </c>
      <c r="T137" s="241" t="e">
        <f t="shared" si="96"/>
        <v>#DIV/0!</v>
      </c>
      <c r="U137" s="241" t="e">
        <f t="shared" si="96"/>
        <v>#DIV/0!</v>
      </c>
      <c r="V137" s="241" t="e">
        <f t="shared" si="96"/>
        <v>#DIV/0!</v>
      </c>
      <c r="W137" s="241" t="e">
        <f t="shared" si="96"/>
        <v>#DIV/0!</v>
      </c>
      <c r="X137" s="241" t="e">
        <f t="shared" si="96"/>
        <v>#DIV/0!</v>
      </c>
      <c r="Y137" s="241" t="e">
        <f t="shared" si="96"/>
        <v>#DIV/0!</v>
      </c>
      <c r="Z137" s="241" t="e">
        <f t="shared" si="96"/>
        <v>#DIV/0!</v>
      </c>
      <c r="AA137" s="241" t="e">
        <f t="shared" si="96"/>
        <v>#DIV/0!</v>
      </c>
      <c r="AB137" s="241" t="e">
        <f t="shared" si="96"/>
        <v>#DIV/0!</v>
      </c>
      <c r="AC137" s="257"/>
      <c r="AD137" s="210"/>
      <c r="AE137" s="210"/>
    </row>
    <row r="138" spans="1:31" ht="42.75" customHeight="1">
      <c r="A138" s="152"/>
      <c r="B138" s="528" t="s">
        <v>36</v>
      </c>
      <c r="C138" s="611"/>
      <c r="D138" s="612"/>
      <c r="E138" s="612"/>
      <c r="F138" s="612"/>
      <c r="G138" s="612"/>
      <c r="H138" s="612"/>
      <c r="I138" s="612"/>
      <c r="J138" s="612"/>
      <c r="K138" s="612"/>
      <c r="L138" s="612"/>
      <c r="M138" s="612"/>
      <c r="N138" s="612"/>
      <c r="O138" s="613">
        <f>SUM(C138:N138)</f>
        <v>0</v>
      </c>
      <c r="P138" s="240" t="s">
        <v>312</v>
      </c>
      <c r="Q138" s="258"/>
      <c r="R138" s="259"/>
      <c r="S138" s="259"/>
      <c r="T138" s="259"/>
      <c r="U138" s="259"/>
      <c r="V138" s="259"/>
      <c r="W138" s="259"/>
      <c r="X138" s="259"/>
      <c r="Y138" s="259"/>
      <c r="Z138" s="259"/>
      <c r="AA138" s="259"/>
      <c r="AB138" s="259"/>
      <c r="AC138" s="244"/>
      <c r="AD138" s="210"/>
      <c r="AE138" s="210"/>
    </row>
    <row r="139" spans="1:31" ht="36" customHeight="1">
      <c r="A139" s="152"/>
      <c r="B139" s="528" t="s">
        <v>1247</v>
      </c>
      <c r="C139" s="620">
        <f aca="true" t="shared" si="97" ref="C139:N139">C137+C138</f>
        <v>0</v>
      </c>
      <c r="D139" s="620">
        <f t="shared" si="97"/>
        <v>0</v>
      </c>
      <c r="E139" s="620">
        <f t="shared" si="97"/>
        <v>0</v>
      </c>
      <c r="F139" s="620">
        <f t="shared" si="97"/>
        <v>0</v>
      </c>
      <c r="G139" s="620">
        <f t="shared" si="97"/>
        <v>0</v>
      </c>
      <c r="H139" s="620">
        <f t="shared" si="97"/>
        <v>0</v>
      </c>
      <c r="I139" s="620">
        <f t="shared" si="97"/>
        <v>0</v>
      </c>
      <c r="J139" s="620">
        <f t="shared" si="97"/>
        <v>0</v>
      </c>
      <c r="K139" s="620">
        <f t="shared" si="97"/>
        <v>0</v>
      </c>
      <c r="L139" s="620">
        <f t="shared" si="97"/>
        <v>0</v>
      </c>
      <c r="M139" s="620">
        <f t="shared" si="97"/>
        <v>0</v>
      </c>
      <c r="N139" s="620">
        <f t="shared" si="97"/>
        <v>0</v>
      </c>
      <c r="O139" s="620">
        <f>$O137+$O138</f>
        <v>0</v>
      </c>
      <c r="P139" s="240" t="s">
        <v>313</v>
      </c>
      <c r="Q139" s="258"/>
      <c r="R139" s="259"/>
      <c r="S139" s="259"/>
      <c r="T139" s="259"/>
      <c r="U139" s="259"/>
      <c r="V139" s="259"/>
      <c r="W139" s="259"/>
      <c r="X139" s="259"/>
      <c r="Y139" s="259"/>
      <c r="Z139" s="259"/>
      <c r="AA139" s="259"/>
      <c r="AB139" s="259"/>
      <c r="AC139" s="244"/>
      <c r="AD139" s="210"/>
      <c r="AE139" s="210"/>
    </row>
    <row r="140" spans="1:31" ht="35.25" customHeight="1">
      <c r="A140" s="152"/>
      <c r="B140" s="528" t="s">
        <v>1246</v>
      </c>
      <c r="C140" s="620">
        <f>SUM(C135:C136)</f>
        <v>0</v>
      </c>
      <c r="D140" s="620">
        <f aca="true" t="shared" si="98" ref="D140:N140">SUM(D135:D136)</f>
        <v>0</v>
      </c>
      <c r="E140" s="620">
        <f t="shared" si="98"/>
        <v>0</v>
      </c>
      <c r="F140" s="620">
        <f t="shared" si="98"/>
        <v>0</v>
      </c>
      <c r="G140" s="620">
        <f t="shared" si="98"/>
        <v>0</v>
      </c>
      <c r="H140" s="620">
        <f t="shared" si="98"/>
        <v>0</v>
      </c>
      <c r="I140" s="620">
        <f t="shared" si="98"/>
        <v>0</v>
      </c>
      <c r="J140" s="620">
        <f t="shared" si="98"/>
        <v>0</v>
      </c>
      <c r="K140" s="620">
        <f t="shared" si="98"/>
        <v>0</v>
      </c>
      <c r="L140" s="620">
        <f t="shared" si="98"/>
        <v>0</v>
      </c>
      <c r="M140" s="620">
        <f t="shared" si="98"/>
        <v>0</v>
      </c>
      <c r="N140" s="620">
        <f t="shared" si="98"/>
        <v>0</v>
      </c>
      <c r="O140" s="620">
        <f>$O135+$O136+$O139</f>
        <v>0</v>
      </c>
      <c r="P140" s="261" t="s">
        <v>314</v>
      </c>
      <c r="Q140" s="262" t="e">
        <f>MAX(Q137:AB137)</f>
        <v>#DIV/0!</v>
      </c>
      <c r="R140" s="259"/>
      <c r="S140" s="259"/>
      <c r="T140" s="259"/>
      <c r="U140" s="259"/>
      <c r="V140" s="259"/>
      <c r="W140" s="259"/>
      <c r="X140" s="259"/>
      <c r="Y140" s="259"/>
      <c r="Z140" s="259"/>
      <c r="AA140" s="259"/>
      <c r="AB140" s="259"/>
      <c r="AC140" s="244"/>
      <c r="AD140" s="210"/>
      <c r="AE140" s="210"/>
    </row>
    <row r="141" spans="1:31" ht="16.5" thickBot="1">
      <c r="A141" s="276"/>
      <c r="B141" s="276"/>
      <c r="C141" s="276"/>
      <c r="D141" s="276"/>
      <c r="E141" s="276"/>
      <c r="F141" s="276"/>
      <c r="G141" s="276"/>
      <c r="H141" s="276"/>
      <c r="I141" s="152"/>
      <c r="J141" s="152"/>
      <c r="K141" s="152"/>
      <c r="L141" s="152"/>
      <c r="M141" s="152"/>
      <c r="N141" s="152"/>
      <c r="O141" s="152"/>
      <c r="P141" s="263"/>
      <c r="Q141" s="211"/>
      <c r="R141" s="244"/>
      <c r="S141" s="244"/>
      <c r="T141" s="244"/>
      <c r="U141" s="244"/>
      <c r="V141" s="244"/>
      <c r="W141" s="244"/>
      <c r="X141" s="244"/>
      <c r="Y141" s="244"/>
      <c r="Z141" s="244"/>
      <c r="AA141" s="244"/>
      <c r="AB141" s="244"/>
      <c r="AC141" s="244"/>
      <c r="AD141" s="210"/>
      <c r="AE141" s="210"/>
    </row>
    <row r="142" spans="1:31" ht="20.25">
      <c r="A142" s="254" t="s">
        <v>324</v>
      </c>
      <c r="B142" s="152"/>
      <c r="C142" s="152"/>
      <c r="D142" s="152"/>
      <c r="E142" s="152"/>
      <c r="F142" s="152"/>
      <c r="G142" s="152"/>
      <c r="H142" s="152"/>
      <c r="I142" s="152"/>
      <c r="J142" s="152"/>
      <c r="K142" s="152"/>
      <c r="L142" s="152"/>
      <c r="M142" s="152"/>
      <c r="N142" s="152"/>
      <c r="O142" s="152"/>
      <c r="P142" s="263"/>
      <c r="Q142" s="211"/>
      <c r="R142" s="244"/>
      <c r="S142" s="244"/>
      <c r="T142" s="244"/>
      <c r="U142" s="244"/>
      <c r="V142" s="244"/>
      <c r="W142" s="244"/>
      <c r="X142" s="244"/>
      <c r="Y142" s="244"/>
      <c r="Z142" s="244"/>
      <c r="AA142" s="244"/>
      <c r="AB142" s="244"/>
      <c r="AC142" s="244"/>
      <c r="AD142" s="210"/>
      <c r="AE142" s="210"/>
    </row>
    <row r="143" spans="1:31" ht="18.75">
      <c r="A143" s="152"/>
      <c r="B143" s="495" t="s">
        <v>786</v>
      </c>
      <c r="C143" s="495"/>
      <c r="D143" s="495"/>
      <c r="E143" s="610">
        <f>$O140+O139</f>
        <v>0</v>
      </c>
      <c r="F143" s="176" t="s">
        <v>321</v>
      </c>
      <c r="G143" s="164"/>
      <c r="H143" s="152"/>
      <c r="I143" s="152"/>
      <c r="J143" s="152"/>
      <c r="K143" s="152"/>
      <c r="L143" s="152"/>
      <c r="M143" s="152"/>
      <c r="N143" s="152"/>
      <c r="O143" s="152"/>
      <c r="P143" s="264" t="s">
        <v>315</v>
      </c>
      <c r="Q143" s="211"/>
      <c r="R143" s="244"/>
      <c r="S143" s="244"/>
      <c r="T143" s="244"/>
      <c r="U143" s="244"/>
      <c r="V143" s="244"/>
      <c r="W143" s="244"/>
      <c r="X143" s="244"/>
      <c r="Y143" s="244"/>
      <c r="Z143" s="244"/>
      <c r="AA143" s="244"/>
      <c r="AB143" s="244"/>
      <c r="AC143" s="244"/>
      <c r="AD143" s="210"/>
      <c r="AE143" s="210"/>
    </row>
    <row r="144" spans="1:31" ht="18.75">
      <c r="A144" s="152"/>
      <c r="B144" s="495" t="s">
        <v>355</v>
      </c>
      <c r="C144" s="495"/>
      <c r="D144" s="495"/>
      <c r="E144" s="495"/>
      <c r="F144" s="567"/>
      <c r="G144" s="176"/>
      <c r="H144" s="152"/>
      <c r="I144" s="152"/>
      <c r="J144" s="152"/>
      <c r="K144" s="152"/>
      <c r="L144" s="152"/>
      <c r="M144" s="152"/>
      <c r="N144" s="152"/>
      <c r="O144" s="152"/>
      <c r="P144" s="264" t="s">
        <v>316</v>
      </c>
      <c r="Q144" s="211"/>
      <c r="R144" s="244"/>
      <c r="S144" s="244"/>
      <c r="T144" s="244"/>
      <c r="U144" s="244"/>
      <c r="V144" s="244"/>
      <c r="W144" s="244"/>
      <c r="X144" s="244"/>
      <c r="Y144" s="244"/>
      <c r="Z144" s="244"/>
      <c r="AA144" s="244"/>
      <c r="AB144" s="244"/>
      <c r="AC144" s="244"/>
      <c r="AD144" s="210"/>
      <c r="AE144" s="210"/>
    </row>
    <row r="145" spans="1:31" ht="19.5" thickBot="1">
      <c r="A145" s="152"/>
      <c r="B145" s="494" t="s">
        <v>35</v>
      </c>
      <c r="C145" s="494"/>
      <c r="D145" s="666">
        <f>C13</f>
        <v>0</v>
      </c>
      <c r="E145" s="695" t="s">
        <v>622</v>
      </c>
      <c r="F145" s="176"/>
      <c r="G145" s="176"/>
      <c r="H145" s="152"/>
      <c r="I145" s="152"/>
      <c r="J145" s="152"/>
      <c r="K145" s="152"/>
      <c r="L145" s="152"/>
      <c r="M145" s="152"/>
      <c r="N145" s="152"/>
      <c r="O145" s="152"/>
      <c r="P145" s="264"/>
      <c r="Q145" s="265"/>
      <c r="R145" s="244"/>
      <c r="S145" s="266" t="s">
        <v>726</v>
      </c>
      <c r="T145" s="267" t="s">
        <v>317</v>
      </c>
      <c r="U145" s="244" t="s">
        <v>318</v>
      </c>
      <c r="V145" s="244" t="s">
        <v>319</v>
      </c>
      <c r="W145" s="244" t="s">
        <v>320</v>
      </c>
      <c r="X145" s="244"/>
      <c r="Y145" s="244"/>
      <c r="Z145" s="244"/>
      <c r="AA145" s="244"/>
      <c r="AB145" s="244"/>
      <c r="AC145" s="244"/>
      <c r="AD145" s="210"/>
      <c r="AE145" s="210"/>
    </row>
    <row r="146" spans="1:31" ht="19.5" thickBot="1">
      <c r="A146" s="152"/>
      <c r="B146" s="494" t="s">
        <v>44</v>
      </c>
      <c r="C146" s="678"/>
      <c r="D146" s="682"/>
      <c r="E146" s="694"/>
      <c r="F146" s="657"/>
      <c r="G146" s="701"/>
      <c r="H146" s="152" t="s">
        <v>325</v>
      </c>
      <c r="I146" s="152"/>
      <c r="J146" s="152"/>
      <c r="K146" s="152"/>
      <c r="L146" s="152"/>
      <c r="M146" s="152"/>
      <c r="N146" s="152"/>
      <c r="O146" s="152"/>
      <c r="P146" s="699" t="s">
        <v>1083</v>
      </c>
      <c r="Q146" s="268" t="s">
        <v>1032</v>
      </c>
      <c r="R146" s="268" t="s">
        <v>728</v>
      </c>
      <c r="S146" s="266" t="s">
        <v>1033</v>
      </c>
      <c r="T146" s="268" t="s">
        <v>1033</v>
      </c>
      <c r="U146" s="164" t="s">
        <v>1034</v>
      </c>
      <c r="V146" s="153" t="s">
        <v>321</v>
      </c>
      <c r="W146" s="153" t="s">
        <v>321</v>
      </c>
      <c r="X146" s="164"/>
      <c r="Y146" s="164"/>
      <c r="Z146" s="164"/>
      <c r="AA146" s="164"/>
      <c r="AB146" s="164"/>
      <c r="AC146" s="164"/>
      <c r="AD146" s="164"/>
      <c r="AE146" s="210"/>
    </row>
    <row r="147" spans="1:31" ht="19.5" thickBot="1">
      <c r="A147" s="152"/>
      <c r="B147" s="494" t="s">
        <v>45</v>
      </c>
      <c r="C147" s="678"/>
      <c r="D147" s="682"/>
      <c r="E147" s="667">
        <f>100-D145</f>
        <v>100</v>
      </c>
      <c r="F147" s="657" t="s">
        <v>325</v>
      </c>
      <c r="G147" s="697"/>
      <c r="H147" s="152"/>
      <c r="I147" s="152"/>
      <c r="J147" s="152"/>
      <c r="K147" s="152"/>
      <c r="L147" s="152"/>
      <c r="M147" s="152"/>
      <c r="N147" s="152"/>
      <c r="O147" s="152"/>
      <c r="P147" s="271"/>
      <c r="Q147" s="262"/>
      <c r="R147" s="272"/>
      <c r="S147" s="241"/>
      <c r="T147" s="241"/>
      <c r="U147" s="153"/>
      <c r="V147" s="273"/>
      <c r="W147" s="274"/>
      <c r="X147" s="164"/>
      <c r="Y147" s="164"/>
      <c r="Z147" s="164"/>
      <c r="AA147" s="164"/>
      <c r="AB147" s="164"/>
      <c r="AC147" s="164"/>
      <c r="AD147" s="164"/>
      <c r="AE147" s="210"/>
    </row>
    <row r="148" spans="1:31" ht="18.75">
      <c r="A148" s="152"/>
      <c r="B148" s="494"/>
      <c r="C148" s="678"/>
      <c r="D148" s="682"/>
      <c r="E148" s="694"/>
      <c r="F148" s="657"/>
      <c r="G148" s="697"/>
      <c r="H148" s="152"/>
      <c r="I148" s="152"/>
      <c r="J148" s="152"/>
      <c r="K148" s="152"/>
      <c r="L148" s="152"/>
      <c r="M148" s="152"/>
      <c r="N148" s="152"/>
      <c r="O148" s="152"/>
      <c r="P148" s="271"/>
      <c r="Q148" s="262"/>
      <c r="R148" s="272"/>
      <c r="S148" s="241"/>
      <c r="T148" s="241"/>
      <c r="U148" s="153"/>
      <c r="V148" s="273"/>
      <c r="W148" s="274"/>
      <c r="X148" s="164"/>
      <c r="Y148" s="164"/>
      <c r="Z148" s="164"/>
      <c r="AA148" s="164"/>
      <c r="AB148" s="164"/>
      <c r="AC148" s="164"/>
      <c r="AD148" s="164"/>
      <c r="AE148" s="210"/>
    </row>
    <row r="149" spans="1:31" ht="18.75">
      <c r="A149" s="152"/>
      <c r="B149" s="494" t="s">
        <v>33</v>
      </c>
      <c r="C149" s="678"/>
      <c r="D149" s="666">
        <f>C14</f>
        <v>0</v>
      </c>
      <c r="E149" s="692"/>
      <c r="F149" s="657"/>
      <c r="G149" s="176"/>
      <c r="H149" s="152"/>
      <c r="I149" s="152"/>
      <c r="J149" s="152"/>
      <c r="K149" s="152"/>
      <c r="L149" s="152"/>
      <c r="M149" s="152"/>
      <c r="N149" s="152"/>
      <c r="O149" s="152"/>
      <c r="P149" s="275">
        <v>1</v>
      </c>
      <c r="Q149" s="262">
        <f>AC77</f>
        <v>0</v>
      </c>
      <c r="R149" s="272">
        <f aca="true" t="shared" si="99" ref="R149:R165">R2</f>
        <v>0</v>
      </c>
      <c r="S149" s="241">
        <f>Q149*R149</f>
        <v>0</v>
      </c>
      <c r="T149" s="241">
        <f aca="true" t="shared" si="100" ref="T149:T165">IF(S149&lt;0,0,S149)</f>
        <v>0</v>
      </c>
      <c r="U149" s="153">
        <f>SUM(D179:O179)*$O95/100000</f>
        <v>0</v>
      </c>
      <c r="V149" s="273">
        <f>T149-U149</f>
        <v>0</v>
      </c>
      <c r="W149" s="274">
        <f aca="true" t="shared" si="101" ref="W149:W165">IF(V149&gt;0,V149,0)</f>
        <v>0</v>
      </c>
      <c r="X149" s="164"/>
      <c r="Y149" s="164"/>
      <c r="Z149" s="164"/>
      <c r="AA149" s="164"/>
      <c r="AB149" s="164"/>
      <c r="AC149" s="164"/>
      <c r="AD149" s="164"/>
      <c r="AE149" s="210"/>
    </row>
    <row r="150" spans="1:31" ht="18.75">
      <c r="A150" s="152"/>
      <c r="B150" s="494"/>
      <c r="C150" s="494"/>
      <c r="D150" s="494"/>
      <c r="E150" s="494"/>
      <c r="F150" s="656"/>
      <c r="G150" s="693"/>
      <c r="H150" s="152"/>
      <c r="I150" s="152"/>
      <c r="J150" s="152"/>
      <c r="K150" s="152"/>
      <c r="L150" s="152"/>
      <c r="M150" s="152"/>
      <c r="N150" s="152"/>
      <c r="O150" s="152"/>
      <c r="P150" s="275">
        <f>P149+1</f>
        <v>2</v>
      </c>
      <c r="Q150" s="262">
        <f>AC78</f>
        <v>0</v>
      </c>
      <c r="R150" s="272">
        <f t="shared" si="99"/>
        <v>0</v>
      </c>
      <c r="S150" s="241">
        <f>Q150*R150</f>
        <v>0</v>
      </c>
      <c r="T150" s="241">
        <f t="shared" si="100"/>
        <v>0</v>
      </c>
      <c r="U150" s="153">
        <f>SUM(D183:O183)*$O97/100000</f>
        <v>0</v>
      </c>
      <c r="V150" s="273">
        <f>T150-U150</f>
        <v>0</v>
      </c>
      <c r="W150" s="274">
        <f t="shared" si="101"/>
        <v>0</v>
      </c>
      <c r="X150" s="244"/>
      <c r="Y150" s="244"/>
      <c r="Z150" s="244"/>
      <c r="AA150" s="244"/>
      <c r="AB150" s="244"/>
      <c r="AC150" s="244"/>
      <c r="AD150" s="210"/>
      <c r="AE150" s="210"/>
    </row>
    <row r="151" spans="1:31" ht="21.75" customHeight="1" thickBot="1">
      <c r="A151" s="152"/>
      <c r="B151" s="659" t="s">
        <v>1069</v>
      </c>
      <c r="C151" s="660"/>
      <c r="D151" s="703" t="e">
        <f>(C17*SUM(AC178:AC191)+(100-C15-C16)*SUM(AC175:AC177))/(SUM(AC175:AC191))</f>
        <v>#DIV/0!</v>
      </c>
      <c r="E151" s="661" t="s">
        <v>325</v>
      </c>
      <c r="F151" s="698" t="s">
        <v>1035</v>
      </c>
      <c r="G151" s="495"/>
      <c r="H151" s="607"/>
      <c r="I151" s="152"/>
      <c r="J151" s="152"/>
      <c r="K151" s="152"/>
      <c r="L151" s="152"/>
      <c r="M151" s="152"/>
      <c r="N151" s="152"/>
      <c r="O151" s="152"/>
      <c r="P151" s="275">
        <f aca="true" t="shared" si="102" ref="P151:P165">P150+1</f>
        <v>3</v>
      </c>
      <c r="Q151" s="262">
        <f aca="true" t="shared" si="103" ref="Q151:Q165">AC79</f>
        <v>0</v>
      </c>
      <c r="R151" s="272">
        <f t="shared" si="99"/>
        <v>0</v>
      </c>
      <c r="S151" s="241">
        <f aca="true" t="shared" si="104" ref="S151:S165">Q151*R151</f>
        <v>0</v>
      </c>
      <c r="T151" s="241">
        <f t="shared" si="100"/>
        <v>0</v>
      </c>
      <c r="U151" s="153">
        <f>SUM(D187:O187)*$O99/100000</f>
        <v>0</v>
      </c>
      <c r="V151" s="273">
        <f aca="true" t="shared" si="105" ref="V151:V165">T151-U151</f>
        <v>0</v>
      </c>
      <c r="W151" s="274">
        <f t="shared" si="101"/>
        <v>0</v>
      </c>
      <c r="X151" s="244"/>
      <c r="Y151" s="244"/>
      <c r="Z151" s="244"/>
      <c r="AA151" s="244"/>
      <c r="AB151" s="244"/>
      <c r="AC151" s="244"/>
      <c r="AD151" s="210"/>
      <c r="AE151" s="210"/>
    </row>
    <row r="152" spans="1:31" ht="21.75" customHeight="1" thickBot="1">
      <c r="A152" s="152"/>
      <c r="B152" s="494" t="s">
        <v>46</v>
      </c>
      <c r="C152" s="678"/>
      <c r="D152" s="682"/>
      <c r="E152" s="694"/>
      <c r="F152" s="657"/>
      <c r="G152" s="701"/>
      <c r="H152" s="152" t="s">
        <v>325</v>
      </c>
      <c r="I152" s="152"/>
      <c r="J152" s="152"/>
      <c r="K152" s="152"/>
      <c r="L152" s="152"/>
      <c r="M152" s="152"/>
      <c r="N152" s="152"/>
      <c r="O152" s="152"/>
      <c r="P152" s="275">
        <f t="shared" si="102"/>
        <v>4</v>
      </c>
      <c r="Q152" s="262">
        <f t="shared" si="103"/>
        <v>0</v>
      </c>
      <c r="R152" s="272">
        <f t="shared" si="99"/>
        <v>0</v>
      </c>
      <c r="S152" s="241">
        <f t="shared" si="104"/>
        <v>0</v>
      </c>
      <c r="T152" s="241">
        <f t="shared" si="100"/>
        <v>0</v>
      </c>
      <c r="U152" s="153">
        <f>SUM(D191:O191)*$O101/100000</f>
        <v>0</v>
      </c>
      <c r="V152" s="273">
        <f t="shared" si="105"/>
        <v>0</v>
      </c>
      <c r="W152" s="274">
        <f t="shared" si="101"/>
        <v>0</v>
      </c>
      <c r="X152" s="244"/>
      <c r="Y152" s="244"/>
      <c r="Z152" s="244"/>
      <c r="AA152" s="244"/>
      <c r="AB152" s="244"/>
      <c r="AC152" s="244"/>
      <c r="AD152" s="210"/>
      <c r="AE152" s="210"/>
    </row>
    <row r="153" spans="1:31" ht="21.75" customHeight="1" thickBot="1">
      <c r="A153" s="152"/>
      <c r="B153" s="494" t="s">
        <v>45</v>
      </c>
      <c r="C153" s="678"/>
      <c r="D153" s="682"/>
      <c r="E153" s="667" t="e">
        <f>100-D151</f>
        <v>#DIV/0!</v>
      </c>
      <c r="F153" s="657" t="s">
        <v>325</v>
      </c>
      <c r="G153" s="697"/>
      <c r="H153" s="152"/>
      <c r="I153" s="152"/>
      <c r="J153" s="152"/>
      <c r="K153" s="152"/>
      <c r="L153" s="152"/>
      <c r="M153" s="152"/>
      <c r="N153" s="152"/>
      <c r="O153" s="152"/>
      <c r="P153" s="275">
        <f t="shared" si="102"/>
        <v>5</v>
      </c>
      <c r="Q153" s="262">
        <f t="shared" si="103"/>
        <v>0</v>
      </c>
      <c r="R153" s="272">
        <f t="shared" si="99"/>
        <v>0</v>
      </c>
      <c r="S153" s="241">
        <f t="shared" si="104"/>
        <v>0</v>
      </c>
      <c r="T153" s="241">
        <f t="shared" si="100"/>
        <v>0</v>
      </c>
      <c r="U153" s="153">
        <f>SUM(D195:O195)*$O103/100000</f>
        <v>0</v>
      </c>
      <c r="V153" s="273">
        <f t="shared" si="105"/>
        <v>0</v>
      </c>
      <c r="W153" s="274">
        <f t="shared" si="101"/>
        <v>0</v>
      </c>
      <c r="X153" s="244"/>
      <c r="Y153" s="244"/>
      <c r="Z153" s="244"/>
      <c r="AA153" s="244"/>
      <c r="AB153" s="244"/>
      <c r="AC153" s="244"/>
      <c r="AD153" s="210"/>
      <c r="AE153" s="210"/>
    </row>
    <row r="154" spans="1:31" ht="21.75" customHeight="1" thickBot="1">
      <c r="A154" s="152"/>
      <c r="B154" s="659"/>
      <c r="C154" s="660"/>
      <c r="D154" s="696"/>
      <c r="E154" s="661"/>
      <c r="F154" s="658"/>
      <c r="G154" s="495"/>
      <c r="H154" s="607"/>
      <c r="I154" s="152"/>
      <c r="J154" s="152"/>
      <c r="K154" s="152"/>
      <c r="L154" s="152"/>
      <c r="M154" s="152"/>
      <c r="N154" s="152"/>
      <c r="O154" s="152"/>
      <c r="P154" s="275">
        <f t="shared" si="102"/>
        <v>6</v>
      </c>
      <c r="Q154" s="262">
        <f t="shared" si="103"/>
        <v>0</v>
      </c>
      <c r="R154" s="272">
        <f t="shared" si="99"/>
        <v>0</v>
      </c>
      <c r="S154" s="241">
        <f t="shared" si="104"/>
        <v>0</v>
      </c>
      <c r="T154" s="241">
        <f t="shared" si="100"/>
        <v>0</v>
      </c>
      <c r="U154" s="153">
        <f>SUM(D199:O199)*$O105/100000</f>
        <v>0</v>
      </c>
      <c r="V154" s="273">
        <f t="shared" si="105"/>
        <v>0</v>
      </c>
      <c r="W154" s="274">
        <f t="shared" si="101"/>
        <v>0</v>
      </c>
      <c r="X154" s="244"/>
      <c r="Y154" s="244"/>
      <c r="Z154" s="244"/>
      <c r="AA154" s="244"/>
      <c r="AB154" s="244"/>
      <c r="AC154" s="244"/>
      <c r="AD154" s="210"/>
      <c r="AE154" s="210"/>
    </row>
    <row r="155" spans="1:31" ht="21.75" customHeight="1" thickBot="1">
      <c r="A155" s="152"/>
      <c r="B155" s="495" t="s">
        <v>37</v>
      </c>
      <c r="C155" s="608"/>
      <c r="D155" s="164"/>
      <c r="E155" s="667">
        <f>G146/100*O74</f>
        <v>0</v>
      </c>
      <c r="F155" s="607" t="s">
        <v>321</v>
      </c>
      <c r="G155" s="607"/>
      <c r="H155" s="607"/>
      <c r="I155" s="152"/>
      <c r="J155" s="152"/>
      <c r="K155" s="152"/>
      <c r="L155" s="152"/>
      <c r="M155" s="152"/>
      <c r="N155" s="152"/>
      <c r="O155" s="152"/>
      <c r="P155" s="275">
        <f t="shared" si="102"/>
        <v>7</v>
      </c>
      <c r="Q155" s="262">
        <f t="shared" si="103"/>
        <v>0</v>
      </c>
      <c r="R155" s="272">
        <f t="shared" si="99"/>
        <v>0</v>
      </c>
      <c r="S155" s="241">
        <f t="shared" si="104"/>
        <v>0</v>
      </c>
      <c r="T155" s="241">
        <f t="shared" si="100"/>
        <v>0</v>
      </c>
      <c r="U155" s="153">
        <f>SUM(D203:O203)*$O107/100000</f>
        <v>0</v>
      </c>
      <c r="V155" s="273">
        <f t="shared" si="105"/>
        <v>0</v>
      </c>
      <c r="W155" s="274">
        <f t="shared" si="101"/>
        <v>0</v>
      </c>
      <c r="X155" s="244"/>
      <c r="Y155" s="244"/>
      <c r="Z155" s="244"/>
      <c r="AA155" s="244"/>
      <c r="AB155" s="244"/>
      <c r="AC155" s="244"/>
      <c r="AD155" s="210"/>
      <c r="AE155" s="210"/>
    </row>
    <row r="156" spans="1:31" ht="24.75" customHeight="1" thickBot="1">
      <c r="A156" s="152"/>
      <c r="B156" s="495" t="s">
        <v>42</v>
      </c>
      <c r="C156" s="495"/>
      <c r="D156" s="164"/>
      <c r="E156" s="667">
        <f>O74*(1-D145/100)*G152/100</f>
        <v>0</v>
      </c>
      <c r="F156" s="607" t="s">
        <v>321</v>
      </c>
      <c r="G156" s="607"/>
      <c r="H156" s="607"/>
      <c r="I156" s="152"/>
      <c r="J156" s="152"/>
      <c r="K156" s="152"/>
      <c r="L156" s="152"/>
      <c r="M156" s="152"/>
      <c r="N156" s="152"/>
      <c r="O156" s="152"/>
      <c r="P156" s="275">
        <f t="shared" si="102"/>
        <v>8</v>
      </c>
      <c r="Q156" s="262">
        <f t="shared" si="103"/>
        <v>0</v>
      </c>
      <c r="R156" s="272">
        <f t="shared" si="99"/>
        <v>0</v>
      </c>
      <c r="S156" s="241">
        <f t="shared" si="104"/>
        <v>0</v>
      </c>
      <c r="T156" s="241">
        <f t="shared" si="100"/>
        <v>0</v>
      </c>
      <c r="U156" s="153">
        <f>SUM(D207:O207)*$O109/100000</f>
        <v>0</v>
      </c>
      <c r="V156" s="273">
        <f t="shared" si="105"/>
        <v>0</v>
      </c>
      <c r="W156" s="274">
        <f t="shared" si="101"/>
        <v>0</v>
      </c>
      <c r="X156" s="244"/>
      <c r="Y156" s="244"/>
      <c r="Z156" s="244"/>
      <c r="AA156" s="244"/>
      <c r="AB156" s="244"/>
      <c r="AC156" s="244"/>
      <c r="AD156" s="210"/>
      <c r="AE156" s="210"/>
    </row>
    <row r="157" spans="16:23" s="164" customFormat="1" ht="24.75" customHeight="1">
      <c r="P157" s="275">
        <f t="shared" si="102"/>
        <v>9</v>
      </c>
      <c r="Q157" s="262">
        <f t="shared" si="103"/>
        <v>0</v>
      </c>
      <c r="R157" s="272">
        <f t="shared" si="99"/>
        <v>0</v>
      </c>
      <c r="S157" s="241">
        <f t="shared" si="104"/>
        <v>0</v>
      </c>
      <c r="T157" s="241">
        <f t="shared" si="100"/>
        <v>0</v>
      </c>
      <c r="U157" s="153">
        <f>SUM(D211:O211)*$O103/100000</f>
        <v>0</v>
      </c>
      <c r="V157" s="273">
        <f t="shared" si="105"/>
        <v>0</v>
      </c>
      <c r="W157" s="274">
        <f t="shared" si="101"/>
        <v>0</v>
      </c>
    </row>
    <row r="158" spans="1:31" ht="18.75">
      <c r="A158" s="152"/>
      <c r="B158" s="495" t="s">
        <v>38</v>
      </c>
      <c r="C158" s="495"/>
      <c r="D158" s="609"/>
      <c r="E158" s="664"/>
      <c r="F158" s="672" t="e">
        <f>(1-D145/100)*(1-D151/100)*(O138+O136)+O135*(1-D149/200)*(1-D151/100)</f>
        <v>#DIV/0!</v>
      </c>
      <c r="G158" s="669" t="s">
        <v>321</v>
      </c>
      <c r="H158" s="665"/>
      <c r="I158" s="152"/>
      <c r="J158" s="152"/>
      <c r="K158" s="152"/>
      <c r="L158" s="152"/>
      <c r="M158" s="152"/>
      <c r="N158" s="152"/>
      <c r="O158" s="152"/>
      <c r="P158" s="275">
        <f t="shared" si="102"/>
        <v>10</v>
      </c>
      <c r="Q158" s="262">
        <f t="shared" si="103"/>
        <v>0</v>
      </c>
      <c r="R158" s="272">
        <f t="shared" si="99"/>
        <v>0</v>
      </c>
      <c r="S158" s="241">
        <f t="shared" si="104"/>
        <v>0</v>
      </c>
      <c r="T158" s="241">
        <f t="shared" si="100"/>
        <v>0</v>
      </c>
      <c r="U158" s="153">
        <f>SUM(D215:O215)*$O113/100000</f>
        <v>0</v>
      </c>
      <c r="V158" s="273">
        <f t="shared" si="105"/>
        <v>0</v>
      </c>
      <c r="W158" s="274">
        <f t="shared" si="101"/>
        <v>0</v>
      </c>
      <c r="X158" s="244"/>
      <c r="Y158" s="244"/>
      <c r="Z158" s="244"/>
      <c r="AA158" s="244"/>
      <c r="AB158" s="244"/>
      <c r="AC158" s="244"/>
      <c r="AD158" s="210"/>
      <c r="AE158" s="210"/>
    </row>
    <row r="159" spans="1:31" ht="18.75">
      <c r="A159" s="152"/>
      <c r="B159" s="495" t="s">
        <v>39</v>
      </c>
      <c r="C159" s="495"/>
      <c r="D159" s="607"/>
      <c r="E159" s="662"/>
      <c r="F159" s="673">
        <f>E155+E156</f>
        <v>0</v>
      </c>
      <c r="G159" s="669" t="s">
        <v>321</v>
      </c>
      <c r="H159" s="662"/>
      <c r="I159" s="152"/>
      <c r="J159" s="152"/>
      <c r="K159" s="152"/>
      <c r="L159" s="152"/>
      <c r="M159" s="152"/>
      <c r="N159" s="152"/>
      <c r="O159" s="152"/>
      <c r="P159" s="275">
        <f t="shared" si="102"/>
        <v>11</v>
      </c>
      <c r="Q159" s="262">
        <f t="shared" si="103"/>
        <v>0</v>
      </c>
      <c r="R159" s="272">
        <f t="shared" si="99"/>
        <v>0</v>
      </c>
      <c r="S159" s="241">
        <f t="shared" si="104"/>
        <v>0</v>
      </c>
      <c r="T159" s="241">
        <f t="shared" si="100"/>
        <v>0</v>
      </c>
      <c r="U159" s="153">
        <f>SUM(D219:O219)*$O115/100000</f>
        <v>0</v>
      </c>
      <c r="V159" s="273">
        <f t="shared" si="105"/>
        <v>0</v>
      </c>
      <c r="W159" s="274">
        <f t="shared" si="101"/>
        <v>0</v>
      </c>
      <c r="X159" s="244"/>
      <c r="Y159" s="244"/>
      <c r="Z159" s="244"/>
      <c r="AA159" s="244"/>
      <c r="AB159" s="244"/>
      <c r="AC159" s="244"/>
      <c r="AD159" s="210"/>
      <c r="AE159" s="164"/>
    </row>
    <row r="160" spans="1:31" ht="19.5" thickBot="1">
      <c r="A160" s="152"/>
      <c r="B160" s="495" t="s">
        <v>40</v>
      </c>
      <c r="C160" s="164"/>
      <c r="D160" s="164"/>
      <c r="E160" s="663"/>
      <c r="F160" s="672" t="e">
        <f>F158-F159</f>
        <v>#DIV/0!</v>
      </c>
      <c r="G160" s="668" t="s">
        <v>828</v>
      </c>
      <c r="H160" s="663"/>
      <c r="I160" s="164"/>
      <c r="J160" s="164"/>
      <c r="K160" s="164"/>
      <c r="L160" s="164"/>
      <c r="M160" s="164"/>
      <c r="N160" s="164"/>
      <c r="O160" s="164"/>
      <c r="P160" s="275">
        <f t="shared" si="102"/>
        <v>12</v>
      </c>
      <c r="Q160" s="262">
        <f t="shared" si="103"/>
        <v>0</v>
      </c>
      <c r="R160" s="272">
        <f t="shared" si="99"/>
        <v>0</v>
      </c>
      <c r="S160" s="241">
        <f t="shared" si="104"/>
        <v>0</v>
      </c>
      <c r="T160" s="241">
        <f t="shared" si="100"/>
        <v>0</v>
      </c>
      <c r="U160" s="153">
        <f>SUM(D223:O223)*$O117/100000</f>
        <v>0</v>
      </c>
      <c r="V160" s="273">
        <f t="shared" si="105"/>
        <v>0</v>
      </c>
      <c r="W160" s="274">
        <f t="shared" si="101"/>
        <v>0</v>
      </c>
      <c r="X160" s="244"/>
      <c r="Y160" s="244"/>
      <c r="Z160" s="244"/>
      <c r="AA160" s="244"/>
      <c r="AB160" s="244"/>
      <c r="AC160" s="244"/>
      <c r="AD160" s="210"/>
      <c r="AE160" s="164"/>
    </row>
    <row r="161" spans="1:31" ht="19.5" thickBot="1">
      <c r="A161" s="675"/>
      <c r="B161" s="674"/>
      <c r="C161" s="674"/>
      <c r="D161" s="674"/>
      <c r="E161" s="670" t="s">
        <v>41</v>
      </c>
      <c r="F161" s="671" t="e">
        <f>IF(F160&gt;0,F160,0)</f>
        <v>#DIV/0!</v>
      </c>
      <c r="G161" s="676" t="s">
        <v>321</v>
      </c>
      <c r="H161" s="677"/>
      <c r="I161" s="678"/>
      <c r="J161" s="678"/>
      <c r="K161" s="678"/>
      <c r="L161" s="678"/>
      <c r="M161" s="678"/>
      <c r="N161" s="678"/>
      <c r="O161" s="678"/>
      <c r="P161" s="275">
        <f t="shared" si="102"/>
        <v>13</v>
      </c>
      <c r="Q161" s="262">
        <f t="shared" si="103"/>
        <v>0</v>
      </c>
      <c r="R161" s="272">
        <f t="shared" si="99"/>
        <v>0</v>
      </c>
      <c r="S161" s="241">
        <f t="shared" si="104"/>
        <v>0</v>
      </c>
      <c r="T161" s="241">
        <f t="shared" si="100"/>
        <v>0</v>
      </c>
      <c r="U161" s="153">
        <f>SUM(D227:O227)*$O119/100000</f>
        <v>0</v>
      </c>
      <c r="V161" s="273">
        <f t="shared" si="105"/>
        <v>0</v>
      </c>
      <c r="W161" s="274">
        <f t="shared" si="101"/>
        <v>0</v>
      </c>
      <c r="X161" s="244"/>
      <c r="Y161" s="244"/>
      <c r="Z161" s="244"/>
      <c r="AA161" s="244"/>
      <c r="AB161" s="244"/>
      <c r="AC161" s="244"/>
      <c r="AD161" s="210"/>
      <c r="AE161" s="210"/>
    </row>
    <row r="162" spans="1:31" ht="24" thickBot="1">
      <c r="A162" s="679" t="s">
        <v>776</v>
      </c>
      <c r="B162" s="680"/>
      <c r="C162" s="680"/>
      <c r="D162" s="680"/>
      <c r="E162" s="680"/>
      <c r="F162" s="680"/>
      <c r="G162" s="680"/>
      <c r="H162" s="680"/>
      <c r="I162" s="680"/>
      <c r="J162" s="680"/>
      <c r="K162" s="680"/>
      <c r="L162" s="680"/>
      <c r="M162" s="680"/>
      <c r="N162" s="680"/>
      <c r="O162" s="680"/>
      <c r="P162" s="275">
        <f t="shared" si="102"/>
        <v>14</v>
      </c>
      <c r="Q162" s="262">
        <f t="shared" si="103"/>
        <v>0</v>
      </c>
      <c r="R162" s="272">
        <f t="shared" si="99"/>
        <v>0</v>
      </c>
      <c r="S162" s="241">
        <f t="shared" si="104"/>
        <v>0</v>
      </c>
      <c r="T162" s="241">
        <f t="shared" si="100"/>
        <v>0</v>
      </c>
      <c r="U162" s="153">
        <f>SUM(D231:O231)*$O121/100000</f>
        <v>0</v>
      </c>
      <c r="V162" s="273">
        <f t="shared" si="105"/>
        <v>0</v>
      </c>
      <c r="W162" s="274">
        <f t="shared" si="101"/>
        <v>0</v>
      </c>
      <c r="X162" s="244"/>
      <c r="Y162" s="244"/>
      <c r="Z162" s="244"/>
      <c r="AA162" s="244"/>
      <c r="AB162" s="244"/>
      <c r="AC162" s="244"/>
      <c r="AD162" s="210"/>
      <c r="AE162" s="210"/>
    </row>
    <row r="163" spans="1:31" ht="30.75" customHeight="1" thickTop="1">
      <c r="A163" s="287" t="s">
        <v>350</v>
      </c>
      <c r="B163" s="171"/>
      <c r="C163" s="164"/>
      <c r="D163" s="164"/>
      <c r="E163" s="164"/>
      <c r="F163" s="164"/>
      <c r="G163" s="164"/>
      <c r="H163" s="164"/>
      <c r="I163" s="164"/>
      <c r="J163" s="164"/>
      <c r="K163" s="164"/>
      <c r="L163" s="164"/>
      <c r="M163" s="164"/>
      <c r="N163" s="164"/>
      <c r="O163" s="210"/>
      <c r="P163" s="275">
        <f t="shared" si="102"/>
        <v>15</v>
      </c>
      <c r="Q163" s="262">
        <f t="shared" si="103"/>
        <v>0</v>
      </c>
      <c r="R163" s="272">
        <f t="shared" si="99"/>
        <v>0</v>
      </c>
      <c r="S163" s="241">
        <f t="shared" si="104"/>
        <v>0</v>
      </c>
      <c r="T163" s="241">
        <f t="shared" si="100"/>
        <v>0</v>
      </c>
      <c r="U163" s="153">
        <f>SUM(D235:O235)*$O123/100000</f>
        <v>0</v>
      </c>
      <c r="V163" s="273">
        <f t="shared" si="105"/>
        <v>0</v>
      </c>
      <c r="W163" s="274">
        <f t="shared" si="101"/>
        <v>0</v>
      </c>
      <c r="X163" s="244"/>
      <c r="Y163" s="244"/>
      <c r="Z163" s="244"/>
      <c r="AA163" s="244"/>
      <c r="AB163" s="244"/>
      <c r="AC163" s="244"/>
      <c r="AD163" s="210"/>
      <c r="AE163" s="210"/>
    </row>
    <row r="164" spans="1:31" ht="18">
      <c r="A164" s="210"/>
      <c r="B164" s="587" t="s">
        <v>777</v>
      </c>
      <c r="C164" s="210"/>
      <c r="D164" s="210"/>
      <c r="E164" s="210"/>
      <c r="F164" s="210"/>
      <c r="G164" s="210"/>
      <c r="H164" s="210"/>
      <c r="I164" s="210"/>
      <c r="J164" s="210"/>
      <c r="K164" s="210"/>
      <c r="L164" s="210"/>
      <c r="M164" s="210"/>
      <c r="N164" s="210"/>
      <c r="O164" s="210"/>
      <c r="P164" s="275">
        <f t="shared" si="102"/>
        <v>16</v>
      </c>
      <c r="Q164" s="262">
        <f t="shared" si="103"/>
        <v>0</v>
      </c>
      <c r="R164" s="272">
        <f t="shared" si="99"/>
        <v>0</v>
      </c>
      <c r="S164" s="241">
        <f t="shared" si="104"/>
        <v>0</v>
      </c>
      <c r="T164" s="241">
        <f t="shared" si="100"/>
        <v>0</v>
      </c>
      <c r="U164" s="153">
        <f>SUM(D239:O239)*$O125/100000</f>
        <v>0</v>
      </c>
      <c r="V164" s="273">
        <f t="shared" si="105"/>
        <v>0</v>
      </c>
      <c r="W164" s="274">
        <f t="shared" si="101"/>
        <v>0</v>
      </c>
      <c r="X164" s="244"/>
      <c r="Y164" s="244"/>
      <c r="Z164" s="244"/>
      <c r="AA164" s="244"/>
      <c r="AB164" s="244"/>
      <c r="AC164" s="244"/>
      <c r="AD164" s="210"/>
      <c r="AE164" s="210"/>
    </row>
    <row r="165" spans="1:31" ht="18.75" thickBot="1">
      <c r="A165" s="210"/>
      <c r="B165" s="587" t="s">
        <v>77</v>
      </c>
      <c r="C165" s="210"/>
      <c r="D165" s="210"/>
      <c r="E165" s="210"/>
      <c r="F165" s="210"/>
      <c r="G165" s="210"/>
      <c r="H165" s="210"/>
      <c r="I165" s="210"/>
      <c r="J165" s="210"/>
      <c r="K165" s="210"/>
      <c r="L165" s="210"/>
      <c r="M165" s="210"/>
      <c r="N165" s="210"/>
      <c r="O165" s="210"/>
      <c r="P165" s="275">
        <f t="shared" si="102"/>
        <v>17</v>
      </c>
      <c r="Q165" s="262">
        <f t="shared" si="103"/>
        <v>0</v>
      </c>
      <c r="R165" s="272">
        <f t="shared" si="99"/>
        <v>0</v>
      </c>
      <c r="S165" s="241">
        <f t="shared" si="104"/>
        <v>0</v>
      </c>
      <c r="T165" s="241">
        <f t="shared" si="100"/>
        <v>0</v>
      </c>
      <c r="U165" s="153">
        <f>SUM(D243:O243)*$O127/100000</f>
        <v>0</v>
      </c>
      <c r="V165" s="273">
        <f t="shared" si="105"/>
        <v>0</v>
      </c>
      <c r="W165" s="274">
        <f t="shared" si="101"/>
        <v>0</v>
      </c>
      <c r="X165" s="244"/>
      <c r="Y165" s="244"/>
      <c r="Z165" s="244"/>
      <c r="AA165" s="244"/>
      <c r="AB165" s="244"/>
      <c r="AC165" s="244"/>
      <c r="AD165" s="210"/>
      <c r="AE165" s="210"/>
    </row>
    <row r="166" spans="1:31" ht="36.75" customHeight="1" thickBot="1">
      <c r="A166" s="210"/>
      <c r="B166" s="587" t="s">
        <v>1088</v>
      </c>
      <c r="C166" s="210"/>
      <c r="D166" s="210"/>
      <c r="E166" s="210"/>
      <c r="F166" s="210"/>
      <c r="G166" s="210"/>
      <c r="H166" s="210"/>
      <c r="I166" s="210"/>
      <c r="J166" s="210"/>
      <c r="K166" s="210"/>
      <c r="L166" s="210"/>
      <c r="M166" s="210"/>
      <c r="N166" s="210"/>
      <c r="O166" s="210"/>
      <c r="P166" s="152"/>
      <c r="Q166" s="152"/>
      <c r="R166" s="244"/>
      <c r="S166" s="278"/>
      <c r="T166" s="700"/>
      <c r="U166" s="164"/>
      <c r="V166" s="278" t="s">
        <v>773</v>
      </c>
      <c r="W166" s="279">
        <f>SUM(W146:W165)</f>
        <v>0</v>
      </c>
      <c r="X166" s="244"/>
      <c r="Y166" s="244"/>
      <c r="Z166" s="244"/>
      <c r="AA166" s="244"/>
      <c r="AB166" s="244"/>
      <c r="AC166" s="244"/>
      <c r="AD166" s="210"/>
      <c r="AE166" s="210"/>
    </row>
    <row r="167" spans="1:31" ht="18">
      <c r="A167" s="210"/>
      <c r="B167" s="587" t="s">
        <v>603</v>
      </c>
      <c r="C167" s="210"/>
      <c r="D167" s="210"/>
      <c r="E167" s="210"/>
      <c r="F167" s="210"/>
      <c r="G167" s="210"/>
      <c r="H167" s="210"/>
      <c r="I167" s="210"/>
      <c r="J167" s="210"/>
      <c r="K167" s="210"/>
      <c r="L167" s="210"/>
      <c r="M167" s="210"/>
      <c r="N167" s="210"/>
      <c r="O167" s="210"/>
      <c r="P167" s="152"/>
      <c r="Q167" s="152"/>
      <c r="R167" s="244"/>
      <c r="S167" s="280"/>
      <c r="T167" s="262"/>
      <c r="U167" s="244"/>
      <c r="V167" s="244"/>
      <c r="W167" s="244"/>
      <c r="X167" s="244"/>
      <c r="Y167" s="244"/>
      <c r="Z167" s="244"/>
      <c r="AA167" s="244"/>
      <c r="AB167" s="244"/>
      <c r="AC167" s="244"/>
      <c r="AD167" s="210"/>
      <c r="AE167" s="210"/>
    </row>
    <row r="168" spans="1:31" ht="18.75" thickBot="1">
      <c r="A168" s="210"/>
      <c r="B168" s="587" t="s">
        <v>1089</v>
      </c>
      <c r="C168" s="210"/>
      <c r="D168" s="210"/>
      <c r="E168" s="210"/>
      <c r="F168" s="210"/>
      <c r="G168" s="210"/>
      <c r="H168" s="210"/>
      <c r="I168" s="210"/>
      <c r="J168" s="210"/>
      <c r="K168" s="210"/>
      <c r="L168" s="210"/>
      <c r="M168" s="210"/>
      <c r="N168" s="210"/>
      <c r="O168" s="210"/>
      <c r="P168" s="152"/>
      <c r="Q168" s="152"/>
      <c r="R168" s="244"/>
      <c r="S168" s="244"/>
      <c r="T168" s="259"/>
      <c r="U168" s="244"/>
      <c r="V168" s="244"/>
      <c r="W168" s="244"/>
      <c r="X168" s="244"/>
      <c r="Y168" s="244"/>
      <c r="Z168" s="244"/>
      <c r="AA168" s="244"/>
      <c r="AB168" s="244"/>
      <c r="AC168" s="244"/>
      <c r="AD168" s="210"/>
      <c r="AE168" s="210"/>
    </row>
    <row r="169" spans="1:31" ht="19.5" thickBot="1" thickTop="1">
      <c r="A169" s="210"/>
      <c r="B169" s="587" t="s">
        <v>604</v>
      </c>
      <c r="C169" s="210"/>
      <c r="D169" s="210"/>
      <c r="E169" s="210"/>
      <c r="F169" s="210"/>
      <c r="G169" s="210"/>
      <c r="H169" s="210"/>
      <c r="I169" s="210"/>
      <c r="J169" s="210"/>
      <c r="K169" s="210"/>
      <c r="L169" s="210"/>
      <c r="M169" s="210"/>
      <c r="N169" s="210"/>
      <c r="O169" s="210"/>
      <c r="P169" s="152"/>
      <c r="Q169" s="152"/>
      <c r="R169" s="281"/>
      <c r="S169" s="244"/>
      <c r="T169" s="282"/>
      <c r="U169" s="211"/>
      <c r="V169" s="244"/>
      <c r="W169" s="244"/>
      <c r="X169" s="244"/>
      <c r="Y169" s="244"/>
      <c r="Z169" s="244"/>
      <c r="AA169" s="244"/>
      <c r="AB169" s="244"/>
      <c r="AC169" s="244"/>
      <c r="AD169" s="210"/>
      <c r="AE169" s="210"/>
    </row>
    <row r="170" spans="1:31" ht="18.75" thickTop="1">
      <c r="A170" s="210"/>
      <c r="B170" s="587" t="s">
        <v>605</v>
      </c>
      <c r="C170" s="210"/>
      <c r="D170" s="210"/>
      <c r="E170" s="210"/>
      <c r="F170" s="210"/>
      <c r="G170" s="210"/>
      <c r="H170" s="210"/>
      <c r="I170" s="210"/>
      <c r="J170" s="210"/>
      <c r="K170" s="210"/>
      <c r="L170" s="210"/>
      <c r="M170" s="210"/>
      <c r="N170" s="210"/>
      <c r="O170" s="210"/>
      <c r="P170" s="152"/>
      <c r="Q170" s="152"/>
      <c r="R170" s="244"/>
      <c r="S170" s="244"/>
      <c r="T170" s="244"/>
      <c r="U170" s="211"/>
      <c r="V170" s="244"/>
      <c r="W170" s="244"/>
      <c r="X170" s="244"/>
      <c r="Y170" s="244"/>
      <c r="Z170" s="244"/>
      <c r="AA170" s="244"/>
      <c r="AB170" s="244"/>
      <c r="AC170" s="244"/>
      <c r="AD170" s="210"/>
      <c r="AE170" s="210"/>
    </row>
    <row r="171" spans="1:31" ht="20.25">
      <c r="A171" s="210"/>
      <c r="B171" s="587" t="s">
        <v>240</v>
      </c>
      <c r="C171" s="210"/>
      <c r="D171" s="210"/>
      <c r="E171" s="210"/>
      <c r="F171" s="210"/>
      <c r="G171" s="210"/>
      <c r="H171" s="210"/>
      <c r="I171" s="210"/>
      <c r="J171" s="210"/>
      <c r="K171" s="210"/>
      <c r="L171" s="210"/>
      <c r="M171" s="210"/>
      <c r="N171" s="210"/>
      <c r="O171" s="210"/>
      <c r="P171" s="283" t="s">
        <v>774</v>
      </c>
      <c r="Q171" s="152"/>
      <c r="R171" s="244"/>
      <c r="S171" s="244"/>
      <c r="T171" s="244"/>
      <c r="U171" s="244"/>
      <c r="V171" s="244"/>
      <c r="W171" s="244"/>
      <c r="X171" s="244"/>
      <c r="Y171" s="244"/>
      <c r="Z171" s="244"/>
      <c r="AA171" s="244"/>
      <c r="AB171" s="244"/>
      <c r="AC171" s="244"/>
      <c r="AD171" s="210"/>
      <c r="AE171" s="210"/>
    </row>
    <row r="172" spans="1:31" ht="21" thickBot="1">
      <c r="A172" s="210"/>
      <c r="B172" s="288"/>
      <c r="C172" s="571" t="s">
        <v>606</v>
      </c>
      <c r="D172" s="576">
        <f aca="true" t="shared" si="106" ref="D172:O172">D40</f>
        <v>0</v>
      </c>
      <c r="E172" s="577">
        <f t="shared" si="106"/>
        <v>0</v>
      </c>
      <c r="F172" s="577">
        <f t="shared" si="106"/>
        <v>0</v>
      </c>
      <c r="G172" s="577">
        <f t="shared" si="106"/>
        <v>0</v>
      </c>
      <c r="H172" s="577">
        <f t="shared" si="106"/>
        <v>0</v>
      </c>
      <c r="I172" s="577">
        <f t="shared" si="106"/>
        <v>0</v>
      </c>
      <c r="J172" s="577">
        <f t="shared" si="106"/>
        <v>0</v>
      </c>
      <c r="K172" s="577">
        <f t="shared" si="106"/>
        <v>0</v>
      </c>
      <c r="L172" s="577">
        <f t="shared" si="106"/>
        <v>0</v>
      </c>
      <c r="M172" s="577">
        <f t="shared" si="106"/>
        <v>0</v>
      </c>
      <c r="N172" s="577">
        <f t="shared" si="106"/>
        <v>0</v>
      </c>
      <c r="O172" s="578">
        <f t="shared" si="106"/>
        <v>0</v>
      </c>
      <c r="P172" s="284" t="s">
        <v>775</v>
      </c>
      <c r="Q172" s="152"/>
      <c r="R172" s="152"/>
      <c r="S172" s="152"/>
      <c r="T172" s="152"/>
      <c r="U172" s="152"/>
      <c r="V172" s="152"/>
      <c r="W172" s="152"/>
      <c r="X172" s="244"/>
      <c r="Y172" s="244"/>
      <c r="Z172" s="244"/>
      <c r="AA172" s="244"/>
      <c r="AB172" s="244"/>
      <c r="AC172" s="244"/>
      <c r="AD172" s="210"/>
      <c r="AE172" s="210"/>
    </row>
    <row r="173" spans="1:31" ht="16.5" thickBot="1">
      <c r="A173" s="291"/>
      <c r="B173" s="292"/>
      <c r="C173" s="293" t="s">
        <v>607</v>
      </c>
      <c r="D173" s="579"/>
      <c r="E173" s="580"/>
      <c r="F173" s="580"/>
      <c r="G173" s="580"/>
      <c r="H173" s="580"/>
      <c r="I173" s="580"/>
      <c r="J173" s="580"/>
      <c r="K173" s="580"/>
      <c r="L173" s="580"/>
      <c r="M173" s="580"/>
      <c r="N173" s="581"/>
      <c r="O173" s="582"/>
      <c r="P173" s="152"/>
      <c r="Q173" s="152"/>
      <c r="R173" s="152"/>
      <c r="S173" s="152"/>
      <c r="T173" s="152"/>
      <c r="U173" s="152"/>
      <c r="V173" s="152"/>
      <c r="W173" s="152"/>
      <c r="X173" s="152"/>
      <c r="Y173" s="152"/>
      <c r="Z173" s="152"/>
      <c r="AA173" s="152"/>
      <c r="AB173" s="152"/>
      <c r="AC173" s="152"/>
      <c r="AD173" s="152"/>
      <c r="AE173" s="210"/>
    </row>
    <row r="174" spans="1:31" ht="21" thickTop="1">
      <c r="A174" s="294"/>
      <c r="B174" s="195" t="s">
        <v>473</v>
      </c>
      <c r="C174" s="295"/>
      <c r="D174" s="296"/>
      <c r="E174" s="297"/>
      <c r="F174" s="297"/>
      <c r="G174" s="297"/>
      <c r="H174" s="297"/>
      <c r="I174" s="297"/>
      <c r="J174" s="297"/>
      <c r="K174" s="297"/>
      <c r="L174" s="297"/>
      <c r="M174" s="297"/>
      <c r="N174" s="297"/>
      <c r="O174" s="298"/>
      <c r="P174" s="252" t="s">
        <v>1085</v>
      </c>
      <c r="Q174" s="222">
        <f aca="true" t="shared" si="107" ref="Q174:W174">D40</f>
        <v>0</v>
      </c>
      <c r="R174" s="222">
        <f t="shared" si="107"/>
        <v>0</v>
      </c>
      <c r="S174" s="222">
        <f t="shared" si="107"/>
        <v>0</v>
      </c>
      <c r="T174" s="222">
        <f t="shared" si="107"/>
        <v>0</v>
      </c>
      <c r="U174" s="222">
        <f t="shared" si="107"/>
        <v>0</v>
      </c>
      <c r="V174" s="222">
        <f t="shared" si="107"/>
        <v>0</v>
      </c>
      <c r="W174" s="222">
        <f t="shared" si="107"/>
        <v>0</v>
      </c>
      <c r="X174" s="222">
        <f>K40</f>
        <v>0</v>
      </c>
      <c r="Y174" s="222">
        <f>L40</f>
        <v>0</v>
      </c>
      <c r="Z174" s="222">
        <f>M40</f>
        <v>0</v>
      </c>
      <c r="AA174" s="222">
        <f>N40</f>
        <v>0</v>
      </c>
      <c r="AB174" s="222">
        <f>O40</f>
        <v>0</v>
      </c>
      <c r="AC174" s="245" t="s">
        <v>226</v>
      </c>
      <c r="AD174" s="152"/>
      <c r="AE174" s="210"/>
    </row>
    <row r="175" spans="1:31" ht="46.5" customHeight="1" thickBot="1">
      <c r="A175" s="193" t="s">
        <v>1083</v>
      </c>
      <c r="B175" s="299" t="s">
        <v>1331</v>
      </c>
      <c r="C175" s="572"/>
      <c r="D175" s="300"/>
      <c r="E175" s="300"/>
      <c r="F175" s="300"/>
      <c r="G175" s="300"/>
      <c r="H175" s="300"/>
      <c r="I175" s="300"/>
      <c r="J175" s="300"/>
      <c r="K175" s="300"/>
      <c r="L175" s="300"/>
      <c r="M175" s="300"/>
      <c r="N175" s="300"/>
      <c r="O175" s="301"/>
      <c r="P175" s="285" t="str">
        <f aca="true" t="shared" si="108" ref="P175:P191">B42</f>
        <v>Paddy Rice #1</v>
      </c>
      <c r="Q175" s="286">
        <f aca="true" t="shared" si="109" ref="Q175:W175">Q77+C95/100000*C259</f>
        <v>0</v>
      </c>
      <c r="R175" s="286">
        <f t="shared" si="109"/>
        <v>0</v>
      </c>
      <c r="S175" s="286">
        <f t="shared" si="109"/>
        <v>0</v>
      </c>
      <c r="T175" s="286">
        <f t="shared" si="109"/>
        <v>0</v>
      </c>
      <c r="U175" s="286">
        <f t="shared" si="109"/>
        <v>0</v>
      </c>
      <c r="V175" s="286">
        <f t="shared" si="109"/>
        <v>0</v>
      </c>
      <c r="W175" s="286">
        <f t="shared" si="109"/>
        <v>0</v>
      </c>
      <c r="X175" s="286">
        <f>X77+J95/100000*J259</f>
        <v>0</v>
      </c>
      <c r="Y175" s="286">
        <f>Y77+K95/100000*K259</f>
        <v>0</v>
      </c>
      <c r="Z175" s="286">
        <f>Z77+L95/100000*L259</f>
        <v>0</v>
      </c>
      <c r="AA175" s="286">
        <f>AA77+M95/100000*M259</f>
        <v>0</v>
      </c>
      <c r="AB175" s="286">
        <f>AB77+N95/100000*N259</f>
        <v>0</v>
      </c>
      <c r="AC175" s="224">
        <f>SUM(Q175:AB175)</f>
        <v>0</v>
      </c>
      <c r="AD175" s="152"/>
      <c r="AE175" s="210"/>
    </row>
    <row r="176" spans="1:31" ht="32.25" customHeight="1" thickTop="1">
      <c r="A176" s="164"/>
      <c r="B176" s="302"/>
      <c r="C176" s="573" t="s">
        <v>608</v>
      </c>
      <c r="D176" s="345">
        <f aca="true" t="shared" si="110" ref="D176:O176">R26</f>
        <v>0</v>
      </c>
      <c r="E176" s="346">
        <f t="shared" si="110"/>
        <v>0</v>
      </c>
      <c r="F176" s="346">
        <f t="shared" si="110"/>
        <v>0</v>
      </c>
      <c r="G176" s="346">
        <f t="shared" si="110"/>
        <v>0</v>
      </c>
      <c r="H176" s="346">
        <f t="shared" si="110"/>
        <v>0</v>
      </c>
      <c r="I176" s="346">
        <f t="shared" si="110"/>
        <v>0</v>
      </c>
      <c r="J176" s="346">
        <f t="shared" si="110"/>
        <v>0</v>
      </c>
      <c r="K176" s="346">
        <f t="shared" si="110"/>
        <v>0</v>
      </c>
      <c r="L176" s="346">
        <f t="shared" si="110"/>
        <v>0</v>
      </c>
      <c r="M176" s="346">
        <f t="shared" si="110"/>
        <v>0</v>
      </c>
      <c r="N176" s="346">
        <f t="shared" si="110"/>
        <v>0</v>
      </c>
      <c r="O176" s="347">
        <f t="shared" si="110"/>
        <v>0</v>
      </c>
      <c r="P176" s="285" t="str">
        <f t="shared" si="108"/>
        <v>Paddy Rice #2</v>
      </c>
      <c r="Q176" s="286">
        <f aca="true" t="shared" si="111" ref="Q176:W176">Q78+C97/100000*C260</f>
        <v>0</v>
      </c>
      <c r="R176" s="286">
        <f t="shared" si="111"/>
        <v>0</v>
      </c>
      <c r="S176" s="286">
        <f t="shared" si="111"/>
        <v>0</v>
      </c>
      <c r="T176" s="286">
        <f t="shared" si="111"/>
        <v>0</v>
      </c>
      <c r="U176" s="286">
        <f t="shared" si="111"/>
        <v>0</v>
      </c>
      <c r="V176" s="286">
        <f t="shared" si="111"/>
        <v>0</v>
      </c>
      <c r="W176" s="286">
        <f t="shared" si="111"/>
        <v>0</v>
      </c>
      <c r="X176" s="286">
        <f>X78+J97/100000*J260</f>
        <v>0</v>
      </c>
      <c r="Y176" s="286">
        <f>Y78+K97/100000*K260</f>
        <v>0</v>
      </c>
      <c r="Z176" s="286">
        <f>Z78+L97/100000*L260</f>
        <v>0</v>
      </c>
      <c r="AA176" s="286">
        <f>AA78+M97/100000*M260</f>
        <v>0</v>
      </c>
      <c r="AB176" s="286">
        <f>AB78+N97/100000*N260</f>
        <v>0</v>
      </c>
      <c r="AC176" s="224">
        <f aca="true" t="shared" si="112" ref="AC176:AC190">SUM(Q176:AB176)</f>
        <v>0</v>
      </c>
      <c r="AD176" s="152"/>
      <c r="AE176" s="210"/>
    </row>
    <row r="177" spans="1:31" ht="18">
      <c r="A177" s="568">
        <v>1</v>
      </c>
      <c r="B177" s="584" t="str">
        <f>$B$42</f>
        <v>Paddy Rice #1</v>
      </c>
      <c r="C177" s="574" t="s">
        <v>609</v>
      </c>
      <c r="D177" s="348"/>
      <c r="E177" s="348"/>
      <c r="F177" s="348"/>
      <c r="G177" s="348"/>
      <c r="H177" s="348"/>
      <c r="I177" s="348"/>
      <c r="J177" s="348"/>
      <c r="K177" s="348"/>
      <c r="L177" s="348"/>
      <c r="M177" s="348"/>
      <c r="N177" s="348"/>
      <c r="O177" s="348"/>
      <c r="P177" s="285" t="str">
        <f t="shared" si="108"/>
        <v>Paddy Rice #3</v>
      </c>
      <c r="Q177" s="286">
        <f aca="true" t="shared" si="113" ref="Q177:W177">Q79+C99/100000*C261</f>
        <v>0</v>
      </c>
      <c r="R177" s="286">
        <f t="shared" si="113"/>
        <v>0</v>
      </c>
      <c r="S177" s="286">
        <f t="shared" si="113"/>
        <v>0</v>
      </c>
      <c r="T177" s="286">
        <f t="shared" si="113"/>
        <v>0</v>
      </c>
      <c r="U177" s="286">
        <f t="shared" si="113"/>
        <v>0</v>
      </c>
      <c r="V177" s="286">
        <f t="shared" si="113"/>
        <v>0</v>
      </c>
      <c r="W177" s="286">
        <f t="shared" si="113"/>
        <v>0</v>
      </c>
      <c r="X177" s="286">
        <f>X79+J99/100000*J261</f>
        <v>0</v>
      </c>
      <c r="Y177" s="286">
        <f>Y79+K99/100000*K261</f>
        <v>0</v>
      </c>
      <c r="Z177" s="286">
        <f>Z79+L99/100000*L261</f>
        <v>0</v>
      </c>
      <c r="AA177" s="286">
        <f>AA79+M99/100000*M261</f>
        <v>0</v>
      </c>
      <c r="AB177" s="286">
        <f>AB79+N99/100000*N261</f>
        <v>0</v>
      </c>
      <c r="AC177" s="224">
        <f t="shared" si="112"/>
        <v>0</v>
      </c>
      <c r="AD177" s="152"/>
      <c r="AE177" s="210"/>
    </row>
    <row r="178" spans="1:31" ht="18">
      <c r="A178" s="568"/>
      <c r="B178" s="584"/>
      <c r="C178" s="574" t="s">
        <v>610</v>
      </c>
      <c r="D178" s="350">
        <f aca="true" t="shared" si="114" ref="D178:N178">D$173*D177/100</f>
        <v>0</v>
      </c>
      <c r="E178" s="351">
        <f t="shared" si="114"/>
        <v>0</v>
      </c>
      <c r="F178" s="351">
        <f t="shared" si="114"/>
        <v>0</v>
      </c>
      <c r="G178" s="351">
        <f t="shared" si="114"/>
        <v>0</v>
      </c>
      <c r="H178" s="351">
        <f t="shared" si="114"/>
        <v>0</v>
      </c>
      <c r="I178" s="351">
        <f t="shared" si="114"/>
        <v>0</v>
      </c>
      <c r="J178" s="351">
        <f t="shared" si="114"/>
        <v>0</v>
      </c>
      <c r="K178" s="351">
        <f t="shared" si="114"/>
        <v>0</v>
      </c>
      <c r="L178" s="351">
        <f t="shared" si="114"/>
        <v>0</v>
      </c>
      <c r="M178" s="351">
        <f t="shared" si="114"/>
        <v>0</v>
      </c>
      <c r="N178" s="351">
        <f t="shared" si="114"/>
        <v>0</v>
      </c>
      <c r="O178" s="351">
        <f>O$173*$O177/100</f>
        <v>0</v>
      </c>
      <c r="P178" s="285">
        <f t="shared" si="108"/>
        <v>0</v>
      </c>
      <c r="Q178" s="286">
        <f aca="true" t="shared" si="115" ref="Q178:W178">Q80+C101/100000*C262</f>
        <v>0</v>
      </c>
      <c r="R178" s="286">
        <f t="shared" si="115"/>
        <v>0</v>
      </c>
      <c r="S178" s="286">
        <f t="shared" si="115"/>
        <v>0</v>
      </c>
      <c r="T178" s="286">
        <f t="shared" si="115"/>
        <v>0</v>
      </c>
      <c r="U178" s="286">
        <f t="shared" si="115"/>
        <v>0</v>
      </c>
      <c r="V178" s="286">
        <f t="shared" si="115"/>
        <v>0</v>
      </c>
      <c r="W178" s="286">
        <f t="shared" si="115"/>
        <v>0</v>
      </c>
      <c r="X178" s="286">
        <f>X80+J101/100000*J262</f>
        <v>0</v>
      </c>
      <c r="Y178" s="286">
        <f>Y80+K101/100000*K262</f>
        <v>0</v>
      </c>
      <c r="Z178" s="286">
        <f>Z80+L101/100000*L262</f>
        <v>0</v>
      </c>
      <c r="AA178" s="286">
        <f>AA80+M101/100000*M262</f>
        <v>0</v>
      </c>
      <c r="AB178" s="286">
        <f>AB80+N101/100000*N262</f>
        <v>0</v>
      </c>
      <c r="AC178" s="224">
        <f t="shared" si="112"/>
        <v>0</v>
      </c>
      <c r="AD178" s="152"/>
      <c r="AE178" s="210"/>
    </row>
    <row r="179" spans="1:31" ht="18.75" thickBot="1">
      <c r="A179" s="569"/>
      <c r="B179" s="585"/>
      <c r="C179" s="575" t="s">
        <v>612</v>
      </c>
      <c r="D179" s="352"/>
      <c r="E179" s="352"/>
      <c r="F179" s="352"/>
      <c r="G179" s="352"/>
      <c r="H179" s="352"/>
      <c r="I179" s="352"/>
      <c r="J179" s="352"/>
      <c r="K179" s="352"/>
      <c r="L179" s="352"/>
      <c r="M179" s="352"/>
      <c r="N179" s="352"/>
      <c r="O179" s="352"/>
      <c r="P179" s="285">
        <f t="shared" si="108"/>
        <v>0</v>
      </c>
      <c r="Q179" s="286">
        <f aca="true" t="shared" si="116" ref="Q179:W179">Q81+C103/100000*C263</f>
        <v>0</v>
      </c>
      <c r="R179" s="286">
        <f t="shared" si="116"/>
        <v>0</v>
      </c>
      <c r="S179" s="286">
        <f t="shared" si="116"/>
        <v>0</v>
      </c>
      <c r="T179" s="286">
        <f t="shared" si="116"/>
        <v>0</v>
      </c>
      <c r="U179" s="286">
        <f t="shared" si="116"/>
        <v>0</v>
      </c>
      <c r="V179" s="286">
        <f t="shared" si="116"/>
        <v>0</v>
      </c>
      <c r="W179" s="286">
        <f t="shared" si="116"/>
        <v>0</v>
      </c>
      <c r="X179" s="286">
        <f>X81+J103/100000*J263</f>
        <v>0</v>
      </c>
      <c r="Y179" s="286">
        <f>Y81+K103/100000*K263</f>
        <v>0</v>
      </c>
      <c r="Z179" s="286">
        <f>Z81+L103/100000*L263</f>
        <v>0</v>
      </c>
      <c r="AA179" s="286">
        <f>AA81+M103/100000*M263</f>
        <v>0</v>
      </c>
      <c r="AB179" s="286">
        <f>AB81+N103/100000*N263</f>
        <v>0</v>
      </c>
      <c r="AC179" s="224">
        <f t="shared" si="112"/>
        <v>0</v>
      </c>
      <c r="AD179" s="152"/>
      <c r="AE179" s="210"/>
    </row>
    <row r="180" spans="1:31" ht="18.75" thickTop="1">
      <c r="A180" s="533"/>
      <c r="B180" s="586"/>
      <c r="C180" s="573" t="s">
        <v>608</v>
      </c>
      <c r="D180" s="345">
        <f aca="true" t="shared" si="117" ref="D180:O180">R27</f>
        <v>0</v>
      </c>
      <c r="E180" s="346">
        <f t="shared" si="117"/>
        <v>0</v>
      </c>
      <c r="F180" s="346">
        <f t="shared" si="117"/>
        <v>0</v>
      </c>
      <c r="G180" s="346">
        <f t="shared" si="117"/>
        <v>0</v>
      </c>
      <c r="H180" s="346">
        <f t="shared" si="117"/>
        <v>0</v>
      </c>
      <c r="I180" s="346">
        <f t="shared" si="117"/>
        <v>0</v>
      </c>
      <c r="J180" s="346">
        <f t="shared" si="117"/>
        <v>0</v>
      </c>
      <c r="K180" s="346">
        <f t="shared" si="117"/>
        <v>0</v>
      </c>
      <c r="L180" s="346">
        <f t="shared" si="117"/>
        <v>0</v>
      </c>
      <c r="M180" s="346">
        <f t="shared" si="117"/>
        <v>0</v>
      </c>
      <c r="N180" s="346">
        <f t="shared" si="117"/>
        <v>0</v>
      </c>
      <c r="O180" s="346">
        <f t="shared" si="117"/>
        <v>0</v>
      </c>
      <c r="P180" s="285">
        <f t="shared" si="108"/>
        <v>0</v>
      </c>
      <c r="Q180" s="286">
        <f aca="true" t="shared" si="118" ref="Q180:W180">Q82+C105/100000*C264</f>
        <v>0</v>
      </c>
      <c r="R180" s="286">
        <f t="shared" si="118"/>
        <v>0</v>
      </c>
      <c r="S180" s="286">
        <f t="shared" si="118"/>
        <v>0</v>
      </c>
      <c r="T180" s="286">
        <f t="shared" si="118"/>
        <v>0</v>
      </c>
      <c r="U180" s="286">
        <f t="shared" si="118"/>
        <v>0</v>
      </c>
      <c r="V180" s="286">
        <f t="shared" si="118"/>
        <v>0</v>
      </c>
      <c r="W180" s="286">
        <f t="shared" si="118"/>
        <v>0</v>
      </c>
      <c r="X180" s="286">
        <f>X82+J105/100000*J264</f>
        <v>0</v>
      </c>
      <c r="Y180" s="286">
        <f>Y82+K105/100000*K264</f>
        <v>0</v>
      </c>
      <c r="Z180" s="286">
        <f>Z82+L105/100000*L264</f>
        <v>0</v>
      </c>
      <c r="AA180" s="286">
        <f>AA82+M105/100000*M264</f>
        <v>0</v>
      </c>
      <c r="AB180" s="286">
        <f>AB82+N105/100000*N264</f>
        <v>0</v>
      </c>
      <c r="AC180" s="224">
        <f t="shared" si="112"/>
        <v>0</v>
      </c>
      <c r="AD180" s="152"/>
      <c r="AE180" s="210"/>
    </row>
    <row r="181" spans="1:31" ht="18">
      <c r="A181" s="533">
        <v>2</v>
      </c>
      <c r="B181" s="584" t="str">
        <f>$B$43</f>
        <v>Paddy Rice #2</v>
      </c>
      <c r="C181" s="574" t="s">
        <v>609</v>
      </c>
      <c r="D181" s="348"/>
      <c r="E181" s="348"/>
      <c r="F181" s="348"/>
      <c r="G181" s="348"/>
      <c r="H181" s="348"/>
      <c r="I181" s="348"/>
      <c r="J181" s="348"/>
      <c r="K181" s="348"/>
      <c r="L181" s="348"/>
      <c r="M181" s="348"/>
      <c r="N181" s="348"/>
      <c r="O181" s="348"/>
      <c r="P181" s="285">
        <f t="shared" si="108"/>
        <v>0</v>
      </c>
      <c r="Q181" s="286">
        <f aca="true" t="shared" si="119" ref="Q181:W181">Q83+C107/100000*C265</f>
        <v>0</v>
      </c>
      <c r="R181" s="286">
        <f t="shared" si="119"/>
        <v>0</v>
      </c>
      <c r="S181" s="286">
        <f t="shared" si="119"/>
        <v>0</v>
      </c>
      <c r="T181" s="286">
        <f t="shared" si="119"/>
        <v>0</v>
      </c>
      <c r="U181" s="286">
        <f t="shared" si="119"/>
        <v>0</v>
      </c>
      <c r="V181" s="286">
        <f t="shared" si="119"/>
        <v>0</v>
      </c>
      <c r="W181" s="286">
        <f t="shared" si="119"/>
        <v>0</v>
      </c>
      <c r="X181" s="286">
        <f>X83+J107/100000*J265</f>
        <v>0</v>
      </c>
      <c r="Y181" s="286">
        <f>Y83+K107/100000*K265</f>
        <v>0</v>
      </c>
      <c r="Z181" s="286">
        <f>Z83+L107/100000*L265</f>
        <v>0</v>
      </c>
      <c r="AA181" s="286">
        <f>AA83+M107/100000*M265</f>
        <v>0</v>
      </c>
      <c r="AB181" s="286">
        <f>AB83+N107/100000*N265</f>
        <v>0</v>
      </c>
      <c r="AC181" s="224">
        <f t="shared" si="112"/>
        <v>0</v>
      </c>
      <c r="AD181" s="152"/>
      <c r="AE181" s="210"/>
    </row>
    <row r="182" spans="1:31" ht="18">
      <c r="A182" s="568"/>
      <c r="B182" s="584"/>
      <c r="C182" s="574" t="s">
        <v>610</v>
      </c>
      <c r="D182" s="350">
        <f aca="true" t="shared" si="120" ref="D182:N182">D$173*D181/100</f>
        <v>0</v>
      </c>
      <c r="E182" s="351">
        <f t="shared" si="120"/>
        <v>0</v>
      </c>
      <c r="F182" s="351">
        <f t="shared" si="120"/>
        <v>0</v>
      </c>
      <c r="G182" s="351">
        <f t="shared" si="120"/>
        <v>0</v>
      </c>
      <c r="H182" s="351">
        <f t="shared" si="120"/>
        <v>0</v>
      </c>
      <c r="I182" s="351">
        <f t="shared" si="120"/>
        <v>0</v>
      </c>
      <c r="J182" s="351">
        <f t="shared" si="120"/>
        <v>0</v>
      </c>
      <c r="K182" s="351">
        <f t="shared" si="120"/>
        <v>0</v>
      </c>
      <c r="L182" s="351">
        <f t="shared" si="120"/>
        <v>0</v>
      </c>
      <c r="M182" s="351">
        <f t="shared" si="120"/>
        <v>0</v>
      </c>
      <c r="N182" s="351">
        <f t="shared" si="120"/>
        <v>0</v>
      </c>
      <c r="O182" s="351">
        <f>O$173*$O181/100</f>
        <v>0</v>
      </c>
      <c r="P182" s="285">
        <f t="shared" si="108"/>
        <v>0</v>
      </c>
      <c r="Q182" s="286">
        <f aca="true" t="shared" si="121" ref="Q182:W182">Q84+C109/100000*C266</f>
        <v>0</v>
      </c>
      <c r="R182" s="286">
        <f t="shared" si="121"/>
        <v>0</v>
      </c>
      <c r="S182" s="286">
        <f t="shared" si="121"/>
        <v>0</v>
      </c>
      <c r="T182" s="286">
        <f t="shared" si="121"/>
        <v>0</v>
      </c>
      <c r="U182" s="286">
        <f t="shared" si="121"/>
        <v>0</v>
      </c>
      <c r="V182" s="286">
        <f t="shared" si="121"/>
        <v>0</v>
      </c>
      <c r="W182" s="286">
        <f t="shared" si="121"/>
        <v>0</v>
      </c>
      <c r="X182" s="286">
        <f>X84+J109/100000*J266</f>
        <v>0</v>
      </c>
      <c r="Y182" s="286">
        <f>Y84+K109/100000*K266</f>
        <v>0</v>
      </c>
      <c r="Z182" s="286">
        <f>Z84+L109/100000*L266</f>
        <v>0</v>
      </c>
      <c r="AA182" s="286">
        <f>AA84+M109/100000*M266</f>
        <v>0</v>
      </c>
      <c r="AB182" s="286">
        <f>AB84+N109/100000*N266</f>
        <v>0</v>
      </c>
      <c r="AC182" s="224">
        <f t="shared" si="112"/>
        <v>0</v>
      </c>
      <c r="AD182" s="152"/>
      <c r="AE182" s="210"/>
    </row>
    <row r="183" spans="1:31" ht="18.75" thickBot="1">
      <c r="A183" s="569"/>
      <c r="B183" s="585"/>
      <c r="C183" s="575" t="s">
        <v>612</v>
      </c>
      <c r="D183" s="352"/>
      <c r="E183" s="352"/>
      <c r="F183" s="352"/>
      <c r="G183" s="352"/>
      <c r="H183" s="352"/>
      <c r="I183" s="352"/>
      <c r="J183" s="352"/>
      <c r="K183" s="352"/>
      <c r="L183" s="352"/>
      <c r="M183" s="352"/>
      <c r="N183" s="352"/>
      <c r="O183" s="352"/>
      <c r="P183" s="285">
        <f t="shared" si="108"/>
        <v>0</v>
      </c>
      <c r="Q183" s="286">
        <f aca="true" t="shared" si="122" ref="Q183:W183">Q85+C111/100000*C267</f>
        <v>0</v>
      </c>
      <c r="R183" s="286">
        <f t="shared" si="122"/>
        <v>0</v>
      </c>
      <c r="S183" s="286">
        <f t="shared" si="122"/>
        <v>0</v>
      </c>
      <c r="T183" s="286">
        <f t="shared" si="122"/>
        <v>0</v>
      </c>
      <c r="U183" s="286">
        <f t="shared" si="122"/>
        <v>0</v>
      </c>
      <c r="V183" s="286">
        <f t="shared" si="122"/>
        <v>0</v>
      </c>
      <c r="W183" s="286">
        <f t="shared" si="122"/>
        <v>0</v>
      </c>
      <c r="X183" s="286">
        <f>X85+J111/100000*J267</f>
        <v>0</v>
      </c>
      <c r="Y183" s="286">
        <f>Y85+K111/100000*K267</f>
        <v>0</v>
      </c>
      <c r="Z183" s="286">
        <f>Z85+L111/100000*L267</f>
        <v>0</v>
      </c>
      <c r="AA183" s="286">
        <f>AA85+M111/100000*M267</f>
        <v>0</v>
      </c>
      <c r="AB183" s="286">
        <f>AB85+N111/100000*N267</f>
        <v>0</v>
      </c>
      <c r="AC183" s="224">
        <f t="shared" si="112"/>
        <v>0</v>
      </c>
      <c r="AD183" s="152"/>
      <c r="AE183" s="210"/>
    </row>
    <row r="184" spans="1:31" ht="18.75" thickTop="1">
      <c r="A184" s="533"/>
      <c r="B184" s="586"/>
      <c r="C184" s="573" t="s">
        <v>608</v>
      </c>
      <c r="D184" s="345">
        <f aca="true" t="shared" si="123" ref="D184:O184">R28</f>
        <v>0</v>
      </c>
      <c r="E184" s="346">
        <f t="shared" si="123"/>
        <v>0</v>
      </c>
      <c r="F184" s="346">
        <f t="shared" si="123"/>
        <v>0</v>
      </c>
      <c r="G184" s="346">
        <f t="shared" si="123"/>
        <v>0</v>
      </c>
      <c r="H184" s="346">
        <f t="shared" si="123"/>
        <v>0</v>
      </c>
      <c r="I184" s="346">
        <f t="shared" si="123"/>
        <v>0</v>
      </c>
      <c r="J184" s="346">
        <f t="shared" si="123"/>
        <v>0</v>
      </c>
      <c r="K184" s="346">
        <f t="shared" si="123"/>
        <v>0</v>
      </c>
      <c r="L184" s="346">
        <f t="shared" si="123"/>
        <v>0</v>
      </c>
      <c r="M184" s="346">
        <f t="shared" si="123"/>
        <v>0</v>
      </c>
      <c r="N184" s="346">
        <f t="shared" si="123"/>
        <v>0</v>
      </c>
      <c r="O184" s="346">
        <f t="shared" si="123"/>
        <v>0</v>
      </c>
      <c r="P184" s="285">
        <f t="shared" si="108"/>
        <v>0</v>
      </c>
      <c r="Q184" s="286">
        <f aca="true" t="shared" si="124" ref="Q184:W184">Q86+C113/100000*C268</f>
        <v>0</v>
      </c>
      <c r="R184" s="286">
        <f t="shared" si="124"/>
        <v>0</v>
      </c>
      <c r="S184" s="286">
        <f t="shared" si="124"/>
        <v>0</v>
      </c>
      <c r="T184" s="286">
        <f t="shared" si="124"/>
        <v>0</v>
      </c>
      <c r="U184" s="286">
        <f t="shared" si="124"/>
        <v>0</v>
      </c>
      <c r="V184" s="286">
        <f t="shared" si="124"/>
        <v>0</v>
      </c>
      <c r="W184" s="286">
        <f t="shared" si="124"/>
        <v>0</v>
      </c>
      <c r="X184" s="286">
        <f>X86+J113/100000*J268</f>
        <v>0</v>
      </c>
      <c r="Y184" s="286">
        <f>Y86+K113/100000*K268</f>
        <v>0</v>
      </c>
      <c r="Z184" s="286">
        <f>Z86+L113/100000*L268</f>
        <v>0</v>
      </c>
      <c r="AA184" s="286">
        <f>AA86+M113/100000*M268</f>
        <v>0</v>
      </c>
      <c r="AB184" s="286">
        <f>AB86+N113/100000*N268</f>
        <v>0</v>
      </c>
      <c r="AC184" s="224">
        <f t="shared" si="112"/>
        <v>0</v>
      </c>
      <c r="AD184" s="152"/>
      <c r="AE184" s="210"/>
    </row>
    <row r="185" spans="1:31" ht="18">
      <c r="A185" s="533">
        <v>3</v>
      </c>
      <c r="B185" s="584" t="str">
        <f>$B$44</f>
        <v>Paddy Rice #3</v>
      </c>
      <c r="C185" s="574" t="s">
        <v>609</v>
      </c>
      <c r="D185" s="348"/>
      <c r="E185" s="349"/>
      <c r="F185" s="349"/>
      <c r="G185" s="349"/>
      <c r="H185" s="349"/>
      <c r="I185" s="349"/>
      <c r="J185" s="349"/>
      <c r="K185" s="349"/>
      <c r="L185" s="349"/>
      <c r="M185" s="349"/>
      <c r="N185" s="349"/>
      <c r="O185" s="349"/>
      <c r="P185" s="285">
        <f t="shared" si="108"/>
        <v>0</v>
      </c>
      <c r="Q185" s="286">
        <f aca="true" t="shared" si="125" ref="Q185:W185">Q87+C115/100000*C269</f>
        <v>0</v>
      </c>
      <c r="R185" s="286">
        <f t="shared" si="125"/>
        <v>0</v>
      </c>
      <c r="S185" s="286">
        <f t="shared" si="125"/>
        <v>0</v>
      </c>
      <c r="T185" s="286">
        <f t="shared" si="125"/>
        <v>0</v>
      </c>
      <c r="U185" s="286">
        <f t="shared" si="125"/>
        <v>0</v>
      </c>
      <c r="V185" s="286">
        <f t="shared" si="125"/>
        <v>0</v>
      </c>
      <c r="W185" s="286">
        <f t="shared" si="125"/>
        <v>0</v>
      </c>
      <c r="X185" s="286">
        <f>X87+J115/100000*J269</f>
        <v>0</v>
      </c>
      <c r="Y185" s="286">
        <f>Y87+K115/100000*K269</f>
        <v>0</v>
      </c>
      <c r="Z185" s="286">
        <f>Z87+L115/100000*L269</f>
        <v>0</v>
      </c>
      <c r="AA185" s="286">
        <f>AA87+M115/100000*M269</f>
        <v>0</v>
      </c>
      <c r="AB185" s="286">
        <f>AB87+N115/100000*N269</f>
        <v>0</v>
      </c>
      <c r="AC185" s="224">
        <f t="shared" si="112"/>
        <v>0</v>
      </c>
      <c r="AD185" s="152"/>
      <c r="AE185" s="210"/>
    </row>
    <row r="186" spans="1:31" ht="18">
      <c r="A186" s="568"/>
      <c r="B186" s="584"/>
      <c r="C186" s="574" t="s">
        <v>610</v>
      </c>
      <c r="D186" s="350">
        <f aca="true" t="shared" si="126" ref="D186:N186">D$173*D185/100</f>
        <v>0</v>
      </c>
      <c r="E186" s="351">
        <f t="shared" si="126"/>
        <v>0</v>
      </c>
      <c r="F186" s="351">
        <f t="shared" si="126"/>
        <v>0</v>
      </c>
      <c r="G186" s="351">
        <f t="shared" si="126"/>
        <v>0</v>
      </c>
      <c r="H186" s="351">
        <f t="shared" si="126"/>
        <v>0</v>
      </c>
      <c r="I186" s="351">
        <f t="shared" si="126"/>
        <v>0</v>
      </c>
      <c r="J186" s="351">
        <f t="shared" si="126"/>
        <v>0</v>
      </c>
      <c r="K186" s="351">
        <f t="shared" si="126"/>
        <v>0</v>
      </c>
      <c r="L186" s="351">
        <f t="shared" si="126"/>
        <v>0</v>
      </c>
      <c r="M186" s="351">
        <f t="shared" si="126"/>
        <v>0</v>
      </c>
      <c r="N186" s="351">
        <f t="shared" si="126"/>
        <v>0</v>
      </c>
      <c r="O186" s="351">
        <f>O$173*$O185/100</f>
        <v>0</v>
      </c>
      <c r="P186" s="285">
        <f t="shared" si="108"/>
        <v>0</v>
      </c>
      <c r="Q186" s="286">
        <f aca="true" t="shared" si="127" ref="Q186:W186">Q88+C117/100000*C270</f>
        <v>0</v>
      </c>
      <c r="R186" s="286">
        <f t="shared" si="127"/>
        <v>0</v>
      </c>
      <c r="S186" s="286">
        <f t="shared" si="127"/>
        <v>0</v>
      </c>
      <c r="T186" s="286">
        <f t="shared" si="127"/>
        <v>0</v>
      </c>
      <c r="U186" s="286">
        <f t="shared" si="127"/>
        <v>0</v>
      </c>
      <c r="V186" s="286">
        <f t="shared" si="127"/>
        <v>0</v>
      </c>
      <c r="W186" s="286">
        <f t="shared" si="127"/>
        <v>0</v>
      </c>
      <c r="X186" s="286">
        <f>X88+J117/100000*J270</f>
        <v>0</v>
      </c>
      <c r="Y186" s="286">
        <f>Y88+K117/100000*K270</f>
        <v>0</v>
      </c>
      <c r="Z186" s="286">
        <f>Z88+L117/100000*L270</f>
        <v>0</v>
      </c>
      <c r="AA186" s="286">
        <f>AA88+M117/100000*M270</f>
        <v>0</v>
      </c>
      <c r="AB186" s="286">
        <f>AB88+N117/100000*N270</f>
        <v>0</v>
      </c>
      <c r="AC186" s="224">
        <f t="shared" si="112"/>
        <v>0</v>
      </c>
      <c r="AD186" s="152"/>
      <c r="AE186" s="152"/>
    </row>
    <row r="187" spans="1:31" ht="18.75" thickBot="1">
      <c r="A187" s="569"/>
      <c r="B187" s="585"/>
      <c r="C187" s="575" t="s">
        <v>612</v>
      </c>
      <c r="D187" s="352"/>
      <c r="E187" s="353"/>
      <c r="F187" s="353"/>
      <c r="G187" s="353"/>
      <c r="H187" s="353"/>
      <c r="I187" s="353"/>
      <c r="J187" s="353"/>
      <c r="K187" s="353"/>
      <c r="L187" s="353"/>
      <c r="M187" s="353"/>
      <c r="N187" s="353"/>
      <c r="O187" s="354"/>
      <c r="P187" s="285">
        <f t="shared" si="108"/>
        <v>0</v>
      </c>
      <c r="Q187" s="286">
        <f aca="true" t="shared" si="128" ref="Q187:W187">Q89+C119/100000*C271</f>
        <v>0</v>
      </c>
      <c r="R187" s="286">
        <f t="shared" si="128"/>
        <v>0</v>
      </c>
      <c r="S187" s="286">
        <f t="shared" si="128"/>
        <v>0</v>
      </c>
      <c r="T187" s="286">
        <f t="shared" si="128"/>
        <v>0</v>
      </c>
      <c r="U187" s="286">
        <f t="shared" si="128"/>
        <v>0</v>
      </c>
      <c r="V187" s="286">
        <f t="shared" si="128"/>
        <v>0</v>
      </c>
      <c r="W187" s="286">
        <f t="shared" si="128"/>
        <v>0</v>
      </c>
      <c r="X187" s="286">
        <f>X89+J119/100000*J271</f>
        <v>0</v>
      </c>
      <c r="Y187" s="286">
        <f>Y89+K119/100000*K271</f>
        <v>0</v>
      </c>
      <c r="Z187" s="286">
        <f>Z89+L119/100000*L271</f>
        <v>0</v>
      </c>
      <c r="AA187" s="286">
        <f>AA89+M119/100000*M271</f>
        <v>0</v>
      </c>
      <c r="AB187" s="286">
        <f>AB89+N119/100000*N271</f>
        <v>0</v>
      </c>
      <c r="AC187" s="224">
        <f t="shared" si="112"/>
        <v>0</v>
      </c>
      <c r="AD187" s="152"/>
      <c r="AE187" s="152"/>
    </row>
    <row r="188" spans="1:31" ht="18.75" thickTop="1">
      <c r="A188" s="533"/>
      <c r="B188" s="586"/>
      <c r="C188" s="573" t="s">
        <v>608</v>
      </c>
      <c r="D188" s="345">
        <f aca="true" t="shared" si="129" ref="D188:O188">R29</f>
        <v>0</v>
      </c>
      <c r="E188" s="346">
        <f t="shared" si="129"/>
        <v>0</v>
      </c>
      <c r="F188" s="346">
        <f t="shared" si="129"/>
        <v>0</v>
      </c>
      <c r="G188" s="346">
        <f t="shared" si="129"/>
        <v>0</v>
      </c>
      <c r="H188" s="346">
        <f t="shared" si="129"/>
        <v>0</v>
      </c>
      <c r="I188" s="346">
        <f t="shared" si="129"/>
        <v>0</v>
      </c>
      <c r="J188" s="346">
        <f t="shared" si="129"/>
        <v>0</v>
      </c>
      <c r="K188" s="346">
        <f t="shared" si="129"/>
        <v>0</v>
      </c>
      <c r="L188" s="346">
        <f t="shared" si="129"/>
        <v>0</v>
      </c>
      <c r="M188" s="346">
        <f t="shared" si="129"/>
        <v>0</v>
      </c>
      <c r="N188" s="346">
        <f t="shared" si="129"/>
        <v>0</v>
      </c>
      <c r="O188" s="346">
        <f t="shared" si="129"/>
        <v>0</v>
      </c>
      <c r="P188" s="285">
        <f t="shared" si="108"/>
        <v>0</v>
      </c>
      <c r="Q188" s="286">
        <f aca="true" t="shared" si="130" ref="Q188:W188">Q90+C121/100000*C272</f>
        <v>0</v>
      </c>
      <c r="R188" s="286">
        <f t="shared" si="130"/>
        <v>0</v>
      </c>
      <c r="S188" s="286">
        <f t="shared" si="130"/>
        <v>0</v>
      </c>
      <c r="T188" s="286">
        <f t="shared" si="130"/>
        <v>0</v>
      </c>
      <c r="U188" s="286">
        <f t="shared" si="130"/>
        <v>0</v>
      </c>
      <c r="V188" s="286">
        <f t="shared" si="130"/>
        <v>0</v>
      </c>
      <c r="W188" s="286">
        <f t="shared" si="130"/>
        <v>0</v>
      </c>
      <c r="X188" s="286">
        <f>X90+J121/100000*J272</f>
        <v>0</v>
      </c>
      <c r="Y188" s="286">
        <f>Y90+K121/100000*K272</f>
        <v>0</v>
      </c>
      <c r="Z188" s="286">
        <f>Z90+L121/100000*L272</f>
        <v>0</v>
      </c>
      <c r="AA188" s="286">
        <f>AA90+M121/100000*M272</f>
        <v>0</v>
      </c>
      <c r="AB188" s="286">
        <f>AB90+N121/100000*N272</f>
        <v>0</v>
      </c>
      <c r="AC188" s="224">
        <f t="shared" si="112"/>
        <v>0</v>
      </c>
      <c r="AD188" s="152"/>
      <c r="AE188" s="152"/>
    </row>
    <row r="189" spans="1:31" ht="18">
      <c r="A189" s="533">
        <v>4</v>
      </c>
      <c r="B189" s="584">
        <f>$B$45</f>
        <v>0</v>
      </c>
      <c r="C189" s="574" t="s">
        <v>609</v>
      </c>
      <c r="D189" s="348"/>
      <c r="E189" s="348"/>
      <c r="F189" s="348"/>
      <c r="G189" s="348"/>
      <c r="H189" s="348"/>
      <c r="I189" s="348"/>
      <c r="J189" s="348"/>
      <c r="K189" s="348"/>
      <c r="L189" s="348"/>
      <c r="M189" s="348"/>
      <c r="N189" s="348"/>
      <c r="O189" s="348"/>
      <c r="P189" s="285">
        <f t="shared" si="108"/>
        <v>0</v>
      </c>
      <c r="Q189" s="286">
        <f aca="true" t="shared" si="131" ref="Q189:W189">Q91+C123/100000*C273</f>
        <v>0</v>
      </c>
      <c r="R189" s="286">
        <f t="shared" si="131"/>
        <v>0</v>
      </c>
      <c r="S189" s="286">
        <f t="shared" si="131"/>
        <v>0</v>
      </c>
      <c r="T189" s="286">
        <f t="shared" si="131"/>
        <v>0</v>
      </c>
      <c r="U189" s="286">
        <f t="shared" si="131"/>
        <v>0</v>
      </c>
      <c r="V189" s="286">
        <f t="shared" si="131"/>
        <v>0</v>
      </c>
      <c r="W189" s="286">
        <f t="shared" si="131"/>
        <v>0</v>
      </c>
      <c r="X189" s="286">
        <f>X91+J123/100000*J273</f>
        <v>0</v>
      </c>
      <c r="Y189" s="286">
        <f>Y91+K123/100000*K273</f>
        <v>0</v>
      </c>
      <c r="Z189" s="286">
        <f>Z91+L123/100000*L273</f>
        <v>0</v>
      </c>
      <c r="AA189" s="286">
        <f>AA91+M123/100000*M273</f>
        <v>0</v>
      </c>
      <c r="AB189" s="286">
        <f>AB91+N123/100000*N273</f>
        <v>0</v>
      </c>
      <c r="AC189" s="224">
        <f t="shared" si="112"/>
        <v>0</v>
      </c>
      <c r="AD189" s="152"/>
      <c r="AE189" s="152"/>
    </row>
    <row r="190" spans="1:31" ht="28.5" customHeight="1">
      <c r="A190" s="568"/>
      <c r="B190" s="584"/>
      <c r="C190" s="574" t="s">
        <v>610</v>
      </c>
      <c r="D190" s="350">
        <f aca="true" t="shared" si="132" ref="D190:O190">D$173*D189/100</f>
        <v>0</v>
      </c>
      <c r="E190" s="351">
        <f t="shared" si="132"/>
        <v>0</v>
      </c>
      <c r="F190" s="351">
        <f t="shared" si="132"/>
        <v>0</v>
      </c>
      <c r="G190" s="351">
        <f t="shared" si="132"/>
        <v>0</v>
      </c>
      <c r="H190" s="351">
        <f t="shared" si="132"/>
        <v>0</v>
      </c>
      <c r="I190" s="351">
        <f t="shared" si="132"/>
        <v>0</v>
      </c>
      <c r="J190" s="351">
        <f t="shared" si="132"/>
        <v>0</v>
      </c>
      <c r="K190" s="351">
        <f t="shared" si="132"/>
        <v>0</v>
      </c>
      <c r="L190" s="351">
        <f t="shared" si="132"/>
        <v>0</v>
      </c>
      <c r="M190" s="351">
        <f t="shared" si="132"/>
        <v>0</v>
      </c>
      <c r="N190" s="351">
        <f t="shared" si="132"/>
        <v>0</v>
      </c>
      <c r="O190" s="351">
        <f t="shared" si="132"/>
        <v>0</v>
      </c>
      <c r="P190" s="285">
        <f t="shared" si="108"/>
        <v>0</v>
      </c>
      <c r="Q190" s="286">
        <f aca="true" t="shared" si="133" ref="Q190:W190">Q92+C125/100000*C274</f>
        <v>0</v>
      </c>
      <c r="R190" s="286">
        <f t="shared" si="133"/>
        <v>0</v>
      </c>
      <c r="S190" s="286">
        <f t="shared" si="133"/>
        <v>0</v>
      </c>
      <c r="T190" s="286">
        <f t="shared" si="133"/>
        <v>0</v>
      </c>
      <c r="U190" s="286">
        <f t="shared" si="133"/>
        <v>0</v>
      </c>
      <c r="V190" s="286">
        <f t="shared" si="133"/>
        <v>0</v>
      </c>
      <c r="W190" s="286">
        <f t="shared" si="133"/>
        <v>0</v>
      </c>
      <c r="X190" s="286">
        <f>X92+J125/100000*J274</f>
        <v>0</v>
      </c>
      <c r="Y190" s="286">
        <f>Y92+K125/100000*K274</f>
        <v>0</v>
      </c>
      <c r="Z190" s="286">
        <f>Z92+L125/100000*L274</f>
        <v>0</v>
      </c>
      <c r="AA190" s="286">
        <f>AA92+M125/100000*M274</f>
        <v>0</v>
      </c>
      <c r="AB190" s="286">
        <f>AB92+N125/100000*N274</f>
        <v>0</v>
      </c>
      <c r="AC190" s="224">
        <f t="shared" si="112"/>
        <v>0</v>
      </c>
      <c r="AD190" s="152"/>
      <c r="AE190" s="152"/>
    </row>
    <row r="191" spans="1:31" ht="28.5" customHeight="1" thickBot="1">
      <c r="A191" s="569"/>
      <c r="B191" s="585"/>
      <c r="C191" s="575" t="s">
        <v>612</v>
      </c>
      <c r="D191" s="352"/>
      <c r="E191" s="352"/>
      <c r="F191" s="352"/>
      <c r="G191" s="352"/>
      <c r="H191" s="352"/>
      <c r="I191" s="352"/>
      <c r="J191" s="352"/>
      <c r="K191" s="352"/>
      <c r="L191" s="352"/>
      <c r="M191" s="352"/>
      <c r="N191" s="352"/>
      <c r="O191" s="352"/>
      <c r="P191" s="285">
        <f t="shared" si="108"/>
        <v>0</v>
      </c>
      <c r="Q191" s="303">
        <f aca="true" t="shared" si="134" ref="Q191:W191">Q93+C127/100000*C275</f>
        <v>0</v>
      </c>
      <c r="R191" s="303">
        <f t="shared" si="134"/>
        <v>0</v>
      </c>
      <c r="S191" s="303">
        <f t="shared" si="134"/>
        <v>0</v>
      </c>
      <c r="T191" s="303">
        <f t="shared" si="134"/>
        <v>0</v>
      </c>
      <c r="U191" s="303">
        <f t="shared" si="134"/>
        <v>0</v>
      </c>
      <c r="V191" s="303">
        <f t="shared" si="134"/>
        <v>0</v>
      </c>
      <c r="W191" s="303">
        <f t="shared" si="134"/>
        <v>0</v>
      </c>
      <c r="X191" s="303">
        <f aca="true" t="shared" si="135" ref="X191:AC191">X93+J127/100000*J275</f>
        <v>0</v>
      </c>
      <c r="Y191" s="303">
        <f t="shared" si="135"/>
        <v>0</v>
      </c>
      <c r="Z191" s="303">
        <f t="shared" si="135"/>
        <v>0</v>
      </c>
      <c r="AA191" s="303">
        <f t="shared" si="135"/>
        <v>0</v>
      </c>
      <c r="AB191" s="303">
        <f t="shared" si="135"/>
        <v>0</v>
      </c>
      <c r="AC191" s="303">
        <f t="shared" si="135"/>
        <v>0</v>
      </c>
      <c r="AD191" s="152"/>
      <c r="AE191" s="152"/>
    </row>
    <row r="192" spans="1:31" ht="28.5" customHeight="1" thickTop="1">
      <c r="A192" s="533"/>
      <c r="B192" s="586"/>
      <c r="C192" s="573" t="s">
        <v>608</v>
      </c>
      <c r="D192" s="345">
        <f aca="true" t="shared" si="136" ref="D192:O192">R30</f>
        <v>0</v>
      </c>
      <c r="E192" s="346">
        <f t="shared" si="136"/>
        <v>0</v>
      </c>
      <c r="F192" s="346">
        <f t="shared" si="136"/>
        <v>0</v>
      </c>
      <c r="G192" s="346">
        <f t="shared" si="136"/>
        <v>0</v>
      </c>
      <c r="H192" s="346">
        <f t="shared" si="136"/>
        <v>0</v>
      </c>
      <c r="I192" s="346">
        <f t="shared" si="136"/>
        <v>0</v>
      </c>
      <c r="J192" s="346">
        <f t="shared" si="136"/>
        <v>0</v>
      </c>
      <c r="K192" s="346">
        <f t="shared" si="136"/>
        <v>0</v>
      </c>
      <c r="L192" s="346">
        <f t="shared" si="136"/>
        <v>0</v>
      </c>
      <c r="M192" s="346">
        <f t="shared" si="136"/>
        <v>0</v>
      </c>
      <c r="N192" s="346">
        <f t="shared" si="136"/>
        <v>0</v>
      </c>
      <c r="O192" s="346">
        <f t="shared" si="136"/>
        <v>0</v>
      </c>
      <c r="P192" s="304" t="s">
        <v>611</v>
      </c>
      <c r="Q192" s="286">
        <f>SUM(Q175:Q191)</f>
        <v>0</v>
      </c>
      <c r="R192" s="286">
        <f aca="true" t="shared" si="137" ref="R192:AB192">SUM(R175:R191)</f>
        <v>0</v>
      </c>
      <c r="S192" s="286">
        <f t="shared" si="137"/>
        <v>0</v>
      </c>
      <c r="T192" s="286">
        <f t="shared" si="137"/>
        <v>0</v>
      </c>
      <c r="U192" s="286">
        <f t="shared" si="137"/>
        <v>0</v>
      </c>
      <c r="V192" s="286">
        <f t="shared" si="137"/>
        <v>0</v>
      </c>
      <c r="W192" s="286">
        <f t="shared" si="137"/>
        <v>0</v>
      </c>
      <c r="X192" s="286">
        <f t="shared" si="137"/>
        <v>0</v>
      </c>
      <c r="Y192" s="286">
        <f t="shared" si="137"/>
        <v>0</v>
      </c>
      <c r="Z192" s="286">
        <f t="shared" si="137"/>
        <v>0</v>
      </c>
      <c r="AA192" s="286">
        <f t="shared" si="137"/>
        <v>0</v>
      </c>
      <c r="AB192" s="286">
        <f t="shared" si="137"/>
        <v>0</v>
      </c>
      <c r="AC192" s="224">
        <f>SUM(AC175:AC191)</f>
        <v>0</v>
      </c>
      <c r="AD192" s="152"/>
      <c r="AE192" s="152"/>
    </row>
    <row r="193" spans="1:31" ht="28.5" customHeight="1">
      <c r="A193" s="533">
        <v>5</v>
      </c>
      <c r="B193" s="584">
        <f>$B$46</f>
        <v>0</v>
      </c>
      <c r="C193" s="574" t="s">
        <v>609</v>
      </c>
      <c r="D193" s="348"/>
      <c r="E193" s="349"/>
      <c r="F193" s="349"/>
      <c r="G193" s="349"/>
      <c r="H193" s="349"/>
      <c r="I193" s="349"/>
      <c r="J193" s="349"/>
      <c r="K193" s="349"/>
      <c r="L193" s="349"/>
      <c r="M193" s="349"/>
      <c r="N193" s="349"/>
      <c r="O193" s="349"/>
      <c r="P193" s="152"/>
      <c r="Q193" s="152"/>
      <c r="R193" s="152"/>
      <c r="S193" s="152"/>
      <c r="T193" s="152"/>
      <c r="U193" s="152"/>
      <c r="V193" s="152"/>
      <c r="W193" s="152"/>
      <c r="X193" s="152"/>
      <c r="Y193" s="152"/>
      <c r="Z193" s="152"/>
      <c r="AA193" s="152"/>
      <c r="AB193" s="152">
        <f>SUM(Q192:AB192)</f>
        <v>0</v>
      </c>
      <c r="AC193" s="152"/>
      <c r="AD193" s="152"/>
      <c r="AE193" s="152"/>
    </row>
    <row r="194" spans="1:31" ht="28.5" customHeight="1">
      <c r="A194" s="568"/>
      <c r="B194" s="584"/>
      <c r="C194" s="574" t="s">
        <v>610</v>
      </c>
      <c r="D194" s="350">
        <f aca="true" t="shared" si="138" ref="D194:O194">D$173*D193/100</f>
        <v>0</v>
      </c>
      <c r="E194" s="351">
        <f t="shared" si="138"/>
        <v>0</v>
      </c>
      <c r="F194" s="351">
        <f t="shared" si="138"/>
        <v>0</v>
      </c>
      <c r="G194" s="351">
        <f t="shared" si="138"/>
        <v>0</v>
      </c>
      <c r="H194" s="351">
        <f t="shared" si="138"/>
        <v>0</v>
      </c>
      <c r="I194" s="351">
        <f t="shared" si="138"/>
        <v>0</v>
      </c>
      <c r="J194" s="351">
        <f t="shared" si="138"/>
        <v>0</v>
      </c>
      <c r="K194" s="351">
        <f t="shared" si="138"/>
        <v>0</v>
      </c>
      <c r="L194" s="351">
        <f t="shared" si="138"/>
        <v>0</v>
      </c>
      <c r="M194" s="351">
        <f t="shared" si="138"/>
        <v>0</v>
      </c>
      <c r="N194" s="351">
        <f t="shared" si="138"/>
        <v>0</v>
      </c>
      <c r="O194" s="351">
        <f t="shared" si="138"/>
        <v>0</v>
      </c>
      <c r="P194" s="304" t="s">
        <v>613</v>
      </c>
      <c r="Q194" s="286">
        <f>MAX(Q193:AB193)</f>
        <v>0</v>
      </c>
      <c r="R194" s="152"/>
      <c r="S194" s="152"/>
      <c r="T194" s="152"/>
      <c r="U194" s="152"/>
      <c r="V194" s="152"/>
      <c r="W194" s="152"/>
      <c r="X194" s="152"/>
      <c r="Y194" s="152"/>
      <c r="Z194" s="152"/>
      <c r="AA194" s="152"/>
      <c r="AB194" s="152"/>
      <c r="AC194" s="152"/>
      <c r="AD194" s="152"/>
      <c r="AE194" s="152"/>
    </row>
    <row r="195" spans="1:31" ht="28.5" customHeight="1" thickBot="1">
      <c r="A195" s="569"/>
      <c r="B195" s="585"/>
      <c r="C195" s="575" t="s">
        <v>612</v>
      </c>
      <c r="D195" s="352"/>
      <c r="E195" s="353"/>
      <c r="F195" s="353"/>
      <c r="G195" s="353"/>
      <c r="H195" s="353"/>
      <c r="I195" s="353"/>
      <c r="J195" s="353"/>
      <c r="K195" s="353"/>
      <c r="L195" s="353"/>
      <c r="M195" s="353"/>
      <c r="N195" s="353"/>
      <c r="O195" s="354"/>
      <c r="P195" s="152"/>
      <c r="Q195" s="152"/>
      <c r="R195" s="152"/>
      <c r="S195" s="152"/>
      <c r="T195" s="152"/>
      <c r="U195" s="152"/>
      <c r="V195" s="152"/>
      <c r="W195" s="152"/>
      <c r="X195" s="152"/>
      <c r="Y195" s="152"/>
      <c r="Z195" s="152"/>
      <c r="AA195" s="152"/>
      <c r="AB195" s="152"/>
      <c r="AC195" s="152"/>
      <c r="AD195" s="152"/>
      <c r="AE195" s="152"/>
    </row>
    <row r="196" spans="1:31" ht="28.5" customHeight="1" thickTop="1">
      <c r="A196" s="533"/>
      <c r="B196" s="586"/>
      <c r="C196" s="573" t="s">
        <v>608</v>
      </c>
      <c r="D196" s="345">
        <f aca="true" t="shared" si="139" ref="D196:O196">R31</f>
        <v>0</v>
      </c>
      <c r="E196" s="346">
        <f t="shared" si="139"/>
        <v>0</v>
      </c>
      <c r="F196" s="346">
        <f t="shared" si="139"/>
        <v>0</v>
      </c>
      <c r="G196" s="346">
        <f t="shared" si="139"/>
        <v>0</v>
      </c>
      <c r="H196" s="346">
        <f t="shared" si="139"/>
        <v>0</v>
      </c>
      <c r="I196" s="346">
        <f t="shared" si="139"/>
        <v>0</v>
      </c>
      <c r="J196" s="346">
        <f t="shared" si="139"/>
        <v>0</v>
      </c>
      <c r="K196" s="346">
        <f t="shared" si="139"/>
        <v>0</v>
      </c>
      <c r="L196" s="346">
        <f t="shared" si="139"/>
        <v>0</v>
      </c>
      <c r="M196" s="346">
        <f t="shared" si="139"/>
        <v>0</v>
      </c>
      <c r="N196" s="346">
        <f t="shared" si="139"/>
        <v>0</v>
      </c>
      <c r="O196" s="346">
        <f t="shared" si="139"/>
        <v>0</v>
      </c>
      <c r="P196" s="152"/>
      <c r="Q196" s="152"/>
      <c r="R196" s="152"/>
      <c r="S196" s="152"/>
      <c r="T196" s="152"/>
      <c r="U196" s="152"/>
      <c r="V196" s="152"/>
      <c r="W196" s="152"/>
      <c r="X196" s="152"/>
      <c r="Y196" s="152"/>
      <c r="Z196" s="152"/>
      <c r="AA196" s="152"/>
      <c r="AB196" s="152"/>
      <c r="AC196" s="152"/>
      <c r="AD196" s="152"/>
      <c r="AE196" s="152"/>
    </row>
    <row r="197" spans="1:31" ht="28.5" customHeight="1">
      <c r="A197" s="533">
        <v>6</v>
      </c>
      <c r="B197" s="584">
        <f>$B$47</f>
        <v>0</v>
      </c>
      <c r="C197" s="574" t="s">
        <v>609</v>
      </c>
      <c r="D197" s="348"/>
      <c r="E197" s="349"/>
      <c r="F197" s="349"/>
      <c r="G197" s="349"/>
      <c r="H197" s="349"/>
      <c r="I197" s="349"/>
      <c r="J197" s="349"/>
      <c r="K197" s="349"/>
      <c r="L197" s="349"/>
      <c r="M197" s="349"/>
      <c r="N197" s="349"/>
      <c r="O197" s="349"/>
      <c r="P197" s="305" t="s">
        <v>606</v>
      </c>
      <c r="Q197" s="306">
        <f aca="true" t="shared" si="140" ref="Q197:W197">D40</f>
        <v>0</v>
      </c>
      <c r="R197" s="290">
        <f t="shared" si="140"/>
        <v>0</v>
      </c>
      <c r="S197" s="290">
        <f t="shared" si="140"/>
        <v>0</v>
      </c>
      <c r="T197" s="290">
        <f t="shared" si="140"/>
        <v>0</v>
      </c>
      <c r="U197" s="290">
        <f t="shared" si="140"/>
        <v>0</v>
      </c>
      <c r="V197" s="290">
        <f t="shared" si="140"/>
        <v>0</v>
      </c>
      <c r="W197" s="290">
        <f t="shared" si="140"/>
        <v>0</v>
      </c>
      <c r="X197" s="290">
        <f>K40</f>
        <v>0</v>
      </c>
      <c r="Y197" s="290">
        <f>L40</f>
        <v>0</v>
      </c>
      <c r="Z197" s="290">
        <f>M40</f>
        <v>0</v>
      </c>
      <c r="AA197" s="290">
        <f>N40</f>
        <v>0</v>
      </c>
      <c r="AB197" s="290">
        <f>O40</f>
        <v>0</v>
      </c>
      <c r="AC197" s="152" t="s">
        <v>226</v>
      </c>
      <c r="AD197" s="152"/>
      <c r="AE197" s="152"/>
    </row>
    <row r="198" spans="1:31" ht="28.5" customHeight="1">
      <c r="A198" s="568"/>
      <c r="B198" s="584"/>
      <c r="C198" s="574" t="s">
        <v>610</v>
      </c>
      <c r="D198" s="350">
        <f aca="true" t="shared" si="141" ref="D198:O198">D$173*D197/100</f>
        <v>0</v>
      </c>
      <c r="E198" s="351">
        <f t="shared" si="141"/>
        <v>0</v>
      </c>
      <c r="F198" s="351">
        <f t="shared" si="141"/>
        <v>0</v>
      </c>
      <c r="G198" s="351">
        <f t="shared" si="141"/>
        <v>0</v>
      </c>
      <c r="H198" s="351">
        <f t="shared" si="141"/>
        <v>0</v>
      </c>
      <c r="I198" s="351">
        <f t="shared" si="141"/>
        <v>0</v>
      </c>
      <c r="J198" s="351">
        <f t="shared" si="141"/>
        <v>0</v>
      </c>
      <c r="K198" s="351">
        <f t="shared" si="141"/>
        <v>0</v>
      </c>
      <c r="L198" s="351">
        <f t="shared" si="141"/>
        <v>0</v>
      </c>
      <c r="M198" s="351">
        <f t="shared" si="141"/>
        <v>0</v>
      </c>
      <c r="N198" s="351">
        <f t="shared" si="141"/>
        <v>0</v>
      </c>
      <c r="O198" s="351">
        <f t="shared" si="141"/>
        <v>0</v>
      </c>
      <c r="P198" s="209" t="s">
        <v>1073</v>
      </c>
      <c r="Q198" s="277">
        <f>D173*$C$11/100000</f>
        <v>0</v>
      </c>
      <c r="R198" s="277">
        <f aca="true" t="shared" si="142" ref="R198:W198">E173*$C$11/100000</f>
        <v>0</v>
      </c>
      <c r="S198" s="277">
        <f t="shared" si="142"/>
        <v>0</v>
      </c>
      <c r="T198" s="277">
        <f t="shared" si="142"/>
        <v>0</v>
      </c>
      <c r="U198" s="277">
        <f t="shared" si="142"/>
        <v>0</v>
      </c>
      <c r="V198" s="277">
        <f t="shared" si="142"/>
        <v>0</v>
      </c>
      <c r="W198" s="277">
        <f t="shared" si="142"/>
        <v>0</v>
      </c>
      <c r="X198" s="277">
        <f>K173*$C$11/100000</f>
        <v>0</v>
      </c>
      <c r="Y198" s="277">
        <f>L173*$C$11/100000</f>
        <v>0</v>
      </c>
      <c r="Z198" s="277">
        <f>M173*$C$11/100000</f>
        <v>0</v>
      </c>
      <c r="AA198" s="277">
        <f>N173*$C$11/100000</f>
        <v>0</v>
      </c>
      <c r="AB198" s="277">
        <f>$O173*$C$11/100000</f>
        <v>0</v>
      </c>
      <c r="AC198" s="307">
        <f>SUM(Q199:AB199)</f>
        <v>0</v>
      </c>
      <c r="AD198" s="152"/>
      <c r="AE198" s="152"/>
    </row>
    <row r="199" spans="1:31" ht="28.5" customHeight="1" thickBot="1">
      <c r="A199" s="569"/>
      <c r="B199" s="585"/>
      <c r="C199" s="575" t="s">
        <v>612</v>
      </c>
      <c r="D199" s="352"/>
      <c r="E199" s="353"/>
      <c r="F199" s="353"/>
      <c r="G199" s="353"/>
      <c r="H199" s="353"/>
      <c r="I199" s="353"/>
      <c r="J199" s="353"/>
      <c r="K199" s="353"/>
      <c r="L199" s="353"/>
      <c r="M199" s="353"/>
      <c r="N199" s="353"/>
      <c r="O199" s="354"/>
      <c r="P199" s="164"/>
      <c r="Q199" s="308"/>
      <c r="R199" s="308"/>
      <c r="S199" s="308"/>
      <c r="T199" s="308"/>
      <c r="U199" s="308"/>
      <c r="V199" s="308"/>
      <c r="W199" s="308"/>
      <c r="X199" s="308"/>
      <c r="Y199" s="308"/>
      <c r="Z199" s="308"/>
      <c r="AA199" s="308"/>
      <c r="AB199" s="308"/>
      <c r="AC199" s="307"/>
      <c r="AD199" s="152"/>
      <c r="AE199" s="152"/>
    </row>
    <row r="200" spans="1:31" ht="28.5" customHeight="1" thickTop="1">
      <c r="A200" s="533"/>
      <c r="B200" s="586"/>
      <c r="C200" s="573" t="s">
        <v>608</v>
      </c>
      <c r="D200" s="345">
        <f aca="true" t="shared" si="143" ref="D200:O200">R32</f>
        <v>0</v>
      </c>
      <c r="E200" s="346">
        <f t="shared" si="143"/>
        <v>0</v>
      </c>
      <c r="F200" s="346">
        <f t="shared" si="143"/>
        <v>0</v>
      </c>
      <c r="G200" s="346">
        <f t="shared" si="143"/>
        <v>0</v>
      </c>
      <c r="H200" s="346">
        <f t="shared" si="143"/>
        <v>0</v>
      </c>
      <c r="I200" s="346">
        <f t="shared" si="143"/>
        <v>0</v>
      </c>
      <c r="J200" s="346">
        <f t="shared" si="143"/>
        <v>0</v>
      </c>
      <c r="K200" s="346">
        <f t="shared" si="143"/>
        <v>0</v>
      </c>
      <c r="L200" s="346">
        <f t="shared" si="143"/>
        <v>0</v>
      </c>
      <c r="M200" s="346">
        <f t="shared" si="143"/>
        <v>0</v>
      </c>
      <c r="N200" s="346">
        <f t="shared" si="143"/>
        <v>0</v>
      </c>
      <c r="O200" s="346">
        <f t="shared" si="143"/>
        <v>0</v>
      </c>
      <c r="P200" s="209" t="s">
        <v>614</v>
      </c>
      <c r="Q200" s="277">
        <f aca="true" t="shared" si="144" ref="Q200:V200">SUM(R205:R221)</f>
        <v>0</v>
      </c>
      <c r="R200" s="277">
        <f t="shared" si="144"/>
        <v>0</v>
      </c>
      <c r="S200" s="277">
        <f t="shared" si="144"/>
        <v>0</v>
      </c>
      <c r="T200" s="277">
        <f t="shared" si="144"/>
        <v>0</v>
      </c>
      <c r="U200" s="277">
        <f t="shared" si="144"/>
        <v>0</v>
      </c>
      <c r="V200" s="277">
        <f t="shared" si="144"/>
        <v>0</v>
      </c>
      <c r="W200" s="277">
        <f aca="true" t="shared" si="145" ref="W200:AB200">SUM(X205:X221)</f>
        <v>0</v>
      </c>
      <c r="X200" s="277">
        <f t="shared" si="145"/>
        <v>0</v>
      </c>
      <c r="Y200" s="277">
        <f t="shared" si="145"/>
        <v>0</v>
      </c>
      <c r="Z200" s="277">
        <f t="shared" si="145"/>
        <v>0</v>
      </c>
      <c r="AA200" s="277">
        <f t="shared" si="145"/>
        <v>0</v>
      </c>
      <c r="AB200" s="277">
        <f t="shared" si="145"/>
        <v>0</v>
      </c>
      <c r="AC200" s="307">
        <f>SUM(Q201:AB201)</f>
        <v>0</v>
      </c>
      <c r="AD200" s="152"/>
      <c r="AE200" s="152"/>
    </row>
    <row r="201" spans="1:31" ht="28.5" customHeight="1">
      <c r="A201" s="533">
        <v>7</v>
      </c>
      <c r="B201" s="584">
        <f>$B$48</f>
        <v>0</v>
      </c>
      <c r="C201" s="574" t="s">
        <v>609</v>
      </c>
      <c r="D201" s="348"/>
      <c r="E201" s="349"/>
      <c r="F201" s="349"/>
      <c r="G201" s="349"/>
      <c r="H201" s="349"/>
      <c r="I201" s="349"/>
      <c r="J201" s="349"/>
      <c r="K201" s="349"/>
      <c r="L201" s="349"/>
      <c r="M201" s="349"/>
      <c r="N201" s="349"/>
      <c r="O201" s="349"/>
      <c r="P201" s="209"/>
      <c r="Q201" s="209"/>
      <c r="R201" s="209"/>
      <c r="S201" s="209"/>
      <c r="T201" s="209"/>
      <c r="U201" s="209"/>
      <c r="V201" s="209"/>
      <c r="W201" s="209"/>
      <c r="X201" s="209"/>
      <c r="Y201" s="209"/>
      <c r="Z201" s="209"/>
      <c r="AA201" s="209"/>
      <c r="AB201" s="209"/>
      <c r="AC201" s="152"/>
      <c r="AD201" s="152"/>
      <c r="AE201" s="152"/>
    </row>
    <row r="202" spans="1:31" ht="28.5" customHeight="1">
      <c r="A202" s="568"/>
      <c r="B202" s="584"/>
      <c r="C202" s="574" t="s">
        <v>610</v>
      </c>
      <c r="D202" s="350">
        <f aca="true" t="shared" si="146" ref="D202:O202">D$173*D201/100</f>
        <v>0</v>
      </c>
      <c r="E202" s="351">
        <f t="shared" si="146"/>
        <v>0</v>
      </c>
      <c r="F202" s="351">
        <f t="shared" si="146"/>
        <v>0</v>
      </c>
      <c r="G202" s="351">
        <f t="shared" si="146"/>
        <v>0</v>
      </c>
      <c r="H202" s="351">
        <f t="shared" si="146"/>
        <v>0</v>
      </c>
      <c r="I202" s="351">
        <f t="shared" si="146"/>
        <v>0</v>
      </c>
      <c r="J202" s="351">
        <f t="shared" si="146"/>
        <v>0</v>
      </c>
      <c r="K202" s="351">
        <f t="shared" si="146"/>
        <v>0</v>
      </c>
      <c r="L202" s="351">
        <f t="shared" si="146"/>
        <v>0</v>
      </c>
      <c r="M202" s="351">
        <f t="shared" si="146"/>
        <v>0</v>
      </c>
      <c r="N202" s="351">
        <f t="shared" si="146"/>
        <v>0</v>
      </c>
      <c r="O202" s="351">
        <f t="shared" si="146"/>
        <v>0</v>
      </c>
      <c r="P202" s="152"/>
      <c r="Q202" s="152"/>
      <c r="R202" s="152"/>
      <c r="S202" s="152"/>
      <c r="T202" s="152"/>
      <c r="U202" s="152"/>
      <c r="V202" s="152"/>
      <c r="W202" s="152"/>
      <c r="X202" s="152"/>
      <c r="Y202" s="152"/>
      <c r="Z202" s="152"/>
      <c r="AA202" s="152"/>
      <c r="AB202" s="152"/>
      <c r="AC202" s="152"/>
      <c r="AD202" s="152"/>
      <c r="AE202" s="152"/>
    </row>
    <row r="203" spans="1:31" ht="28.5" customHeight="1" thickBot="1">
      <c r="A203" s="569"/>
      <c r="B203" s="585"/>
      <c r="C203" s="575" t="s">
        <v>612</v>
      </c>
      <c r="D203" s="352"/>
      <c r="E203" s="353"/>
      <c r="F203" s="353"/>
      <c r="G203" s="353"/>
      <c r="H203" s="353"/>
      <c r="I203" s="353"/>
      <c r="J203" s="353"/>
      <c r="K203" s="353"/>
      <c r="L203" s="353"/>
      <c r="M203" s="353"/>
      <c r="N203" s="353"/>
      <c r="O203" s="354"/>
      <c r="P203" s="309" t="s">
        <v>615</v>
      </c>
      <c r="Q203" s="152"/>
      <c r="R203" s="152"/>
      <c r="S203" s="152"/>
      <c r="T203" s="152"/>
      <c r="U203" s="152"/>
      <c r="V203" s="152"/>
      <c r="W203" s="152"/>
      <c r="X203" s="152"/>
      <c r="Y203" s="152"/>
      <c r="Z203" s="152"/>
      <c r="AA203" s="152"/>
      <c r="AB203" s="152"/>
      <c r="AC203" s="152"/>
      <c r="AD203" s="152"/>
      <c r="AE203" s="152"/>
    </row>
    <row r="204" spans="1:31" ht="28.5" customHeight="1" thickTop="1">
      <c r="A204" s="533"/>
      <c r="B204" s="586"/>
      <c r="C204" s="573" t="s">
        <v>608</v>
      </c>
      <c r="D204" s="345">
        <f aca="true" t="shared" si="147" ref="D204:O204">R33</f>
        <v>0</v>
      </c>
      <c r="E204" s="346">
        <f t="shared" si="147"/>
        <v>0</v>
      </c>
      <c r="F204" s="346">
        <f t="shared" si="147"/>
        <v>0</v>
      </c>
      <c r="G204" s="346">
        <f t="shared" si="147"/>
        <v>0</v>
      </c>
      <c r="H204" s="346">
        <f t="shared" si="147"/>
        <v>0</v>
      </c>
      <c r="I204" s="346">
        <f t="shared" si="147"/>
        <v>0</v>
      </c>
      <c r="J204" s="346">
        <f t="shared" si="147"/>
        <v>0</v>
      </c>
      <c r="K204" s="346">
        <f t="shared" si="147"/>
        <v>0</v>
      </c>
      <c r="L204" s="346">
        <f t="shared" si="147"/>
        <v>0</v>
      </c>
      <c r="M204" s="346">
        <f t="shared" si="147"/>
        <v>0</v>
      </c>
      <c r="N204" s="346">
        <f t="shared" si="147"/>
        <v>0</v>
      </c>
      <c r="O204" s="346">
        <f t="shared" si="147"/>
        <v>0</v>
      </c>
      <c r="P204" s="244" t="s">
        <v>1083</v>
      </c>
      <c r="Q204" s="310" t="s">
        <v>616</v>
      </c>
      <c r="R204" s="311">
        <f aca="true" t="shared" si="148" ref="R204:W204">D40</f>
        <v>0</v>
      </c>
      <c r="S204" s="289">
        <f t="shared" si="148"/>
        <v>0</v>
      </c>
      <c r="T204" s="289">
        <f t="shared" si="148"/>
        <v>0</v>
      </c>
      <c r="U204" s="289">
        <f t="shared" si="148"/>
        <v>0</v>
      </c>
      <c r="V204" s="289">
        <f t="shared" si="148"/>
        <v>0</v>
      </c>
      <c r="W204" s="289">
        <f t="shared" si="148"/>
        <v>0</v>
      </c>
      <c r="X204" s="289">
        <f aca="true" t="shared" si="149" ref="X204:AC204">J40</f>
        <v>0</v>
      </c>
      <c r="Y204" s="289">
        <f t="shared" si="149"/>
        <v>0</v>
      </c>
      <c r="Z204" s="289">
        <f t="shared" si="149"/>
        <v>0</v>
      </c>
      <c r="AA204" s="289">
        <f t="shared" si="149"/>
        <v>0</v>
      </c>
      <c r="AB204" s="289">
        <f t="shared" si="149"/>
        <v>0</v>
      </c>
      <c r="AC204" s="289">
        <f t="shared" si="149"/>
        <v>0</v>
      </c>
      <c r="AD204" s="152"/>
      <c r="AE204" s="152"/>
    </row>
    <row r="205" spans="1:31" ht="28.5" customHeight="1">
      <c r="A205" s="533">
        <v>8</v>
      </c>
      <c r="B205" s="584">
        <f>$B$49</f>
        <v>0</v>
      </c>
      <c r="C205" s="574" t="s">
        <v>609</v>
      </c>
      <c r="D205" s="348"/>
      <c r="E205" s="349"/>
      <c r="F205" s="349"/>
      <c r="G205" s="349"/>
      <c r="H205" s="349"/>
      <c r="I205" s="349"/>
      <c r="J205" s="349"/>
      <c r="K205" s="349"/>
      <c r="L205" s="349"/>
      <c r="M205" s="349"/>
      <c r="N205" s="349"/>
      <c r="O205" s="349"/>
      <c r="P205" s="304">
        <v>1</v>
      </c>
      <c r="Q205" s="312">
        <f>MAX(C95:N95)</f>
        <v>0</v>
      </c>
      <c r="R205" s="313">
        <f aca="true" t="shared" si="150" ref="R205:W205">0.00001*$Q205*D178</f>
        <v>0</v>
      </c>
      <c r="S205" s="313">
        <f t="shared" si="150"/>
        <v>0</v>
      </c>
      <c r="T205" s="313">
        <f t="shared" si="150"/>
        <v>0</v>
      </c>
      <c r="U205" s="313">
        <f t="shared" si="150"/>
        <v>0</v>
      </c>
      <c r="V205" s="313">
        <f t="shared" si="150"/>
        <v>0</v>
      </c>
      <c r="W205" s="313">
        <f t="shared" si="150"/>
        <v>0</v>
      </c>
      <c r="X205" s="313">
        <f>0.00001*$Q205*J178</f>
        <v>0</v>
      </c>
      <c r="Y205" s="313">
        <f>0.00001*$Q205*K178</f>
        <v>0</v>
      </c>
      <c r="Z205" s="313">
        <f>0.00001*$Q205*L178</f>
        <v>0</v>
      </c>
      <c r="AA205" s="313">
        <f>0.00001*$Q205*M178</f>
        <v>0</v>
      </c>
      <c r="AB205" s="313">
        <f>0.00001*$Q205*N178</f>
        <v>0</v>
      </c>
      <c r="AC205" s="313">
        <f>0.00001*$Q205*$O178</f>
        <v>0</v>
      </c>
      <c r="AD205" s="209" t="s">
        <v>226</v>
      </c>
      <c r="AE205" s="152"/>
    </row>
    <row r="206" spans="1:31" ht="28.5" customHeight="1">
      <c r="A206" s="568"/>
      <c r="B206" s="584"/>
      <c r="C206" s="574" t="s">
        <v>610</v>
      </c>
      <c r="D206" s="350">
        <f aca="true" t="shared" si="151" ref="D206:O206">D$173*D205/100</f>
        <v>0</v>
      </c>
      <c r="E206" s="351">
        <f t="shared" si="151"/>
        <v>0</v>
      </c>
      <c r="F206" s="351">
        <f t="shared" si="151"/>
        <v>0</v>
      </c>
      <c r="G206" s="351">
        <f t="shared" si="151"/>
        <v>0</v>
      </c>
      <c r="H206" s="351">
        <f t="shared" si="151"/>
        <v>0</v>
      </c>
      <c r="I206" s="351">
        <f t="shared" si="151"/>
        <v>0</v>
      </c>
      <c r="J206" s="351">
        <f t="shared" si="151"/>
        <v>0</v>
      </c>
      <c r="K206" s="351">
        <f t="shared" si="151"/>
        <v>0</v>
      </c>
      <c r="L206" s="351">
        <f t="shared" si="151"/>
        <v>0</v>
      </c>
      <c r="M206" s="351">
        <f t="shared" si="151"/>
        <v>0</v>
      </c>
      <c r="N206" s="351">
        <f t="shared" si="151"/>
        <v>0</v>
      </c>
      <c r="O206" s="351">
        <f t="shared" si="151"/>
        <v>0</v>
      </c>
      <c r="P206" s="304">
        <f aca="true" t="shared" si="152" ref="P206:P221">P205+1</f>
        <v>2</v>
      </c>
      <c r="Q206" s="312">
        <f>MAX(C97:N97)</f>
        <v>0</v>
      </c>
      <c r="R206" s="313">
        <f aca="true" t="shared" si="153" ref="R206:W206">D182*$Q206/100000</f>
        <v>0</v>
      </c>
      <c r="S206" s="313">
        <f t="shared" si="153"/>
        <v>0</v>
      </c>
      <c r="T206" s="313">
        <f t="shared" si="153"/>
        <v>0</v>
      </c>
      <c r="U206" s="313">
        <f t="shared" si="153"/>
        <v>0</v>
      </c>
      <c r="V206" s="313">
        <f t="shared" si="153"/>
        <v>0</v>
      </c>
      <c r="W206" s="313">
        <f t="shared" si="153"/>
        <v>0</v>
      </c>
      <c r="X206" s="313">
        <f>J182*$Q206/100000</f>
        <v>0</v>
      </c>
      <c r="Y206" s="313">
        <f>K182*$Q206/100000</f>
        <v>0</v>
      </c>
      <c r="Z206" s="313">
        <f>L182*$Q206/100000</f>
        <v>0</v>
      </c>
      <c r="AA206" s="313">
        <f>M182*$Q206/100000</f>
        <v>0</v>
      </c>
      <c r="AB206" s="313">
        <f>N182*$Q206/100000</f>
        <v>0</v>
      </c>
      <c r="AC206" s="313">
        <f>$O182*$Q206/100000</f>
        <v>0</v>
      </c>
      <c r="AD206" s="313">
        <f>SUM(R206:AC206)</f>
        <v>0</v>
      </c>
      <c r="AE206" s="152"/>
    </row>
    <row r="207" spans="1:31" ht="28.5" customHeight="1" thickBot="1">
      <c r="A207" s="569"/>
      <c r="B207" s="585"/>
      <c r="C207" s="575" t="s">
        <v>612</v>
      </c>
      <c r="D207" s="352"/>
      <c r="E207" s="353"/>
      <c r="F207" s="353"/>
      <c r="G207" s="353"/>
      <c r="H207" s="353"/>
      <c r="I207" s="353"/>
      <c r="J207" s="353"/>
      <c r="K207" s="353"/>
      <c r="L207" s="353"/>
      <c r="M207" s="353"/>
      <c r="N207" s="353"/>
      <c r="O207" s="354"/>
      <c r="P207" s="304">
        <f t="shared" si="152"/>
        <v>3</v>
      </c>
      <c r="Q207" s="312">
        <f>MAX(C99:N99)</f>
        <v>0</v>
      </c>
      <c r="R207" s="313">
        <f aca="true" t="shared" si="154" ref="R207:W207">D186*$Q207/100000</f>
        <v>0</v>
      </c>
      <c r="S207" s="313">
        <f t="shared" si="154"/>
        <v>0</v>
      </c>
      <c r="T207" s="313">
        <f t="shared" si="154"/>
        <v>0</v>
      </c>
      <c r="U207" s="313">
        <f t="shared" si="154"/>
        <v>0</v>
      </c>
      <c r="V207" s="313">
        <f t="shared" si="154"/>
        <v>0</v>
      </c>
      <c r="W207" s="313">
        <f t="shared" si="154"/>
        <v>0</v>
      </c>
      <c r="X207" s="313">
        <f>J186*$Q207/100000</f>
        <v>0</v>
      </c>
      <c r="Y207" s="313">
        <f>K186*$Q207/100000</f>
        <v>0</v>
      </c>
      <c r="Z207" s="313">
        <f>L186*$Q207/100000</f>
        <v>0</v>
      </c>
      <c r="AA207" s="313">
        <f>M186*$Q207/100000</f>
        <v>0</v>
      </c>
      <c r="AB207" s="313">
        <f>N186*$Q207/100000</f>
        <v>0</v>
      </c>
      <c r="AC207" s="313">
        <f>$O186*$Q207/100000</f>
        <v>0</v>
      </c>
      <c r="AD207" s="313">
        <f aca="true" t="shared" si="155" ref="AD207:AD222">SUM(R207:AC207)</f>
        <v>0</v>
      </c>
      <c r="AE207" s="152"/>
    </row>
    <row r="208" spans="1:31" ht="28.5" customHeight="1" thickTop="1">
      <c r="A208" s="533"/>
      <c r="B208" s="586"/>
      <c r="C208" s="573" t="s">
        <v>608</v>
      </c>
      <c r="D208" s="345">
        <f aca="true" t="shared" si="156" ref="D208:O208">R34</f>
        <v>0</v>
      </c>
      <c r="E208" s="346">
        <f t="shared" si="156"/>
        <v>0</v>
      </c>
      <c r="F208" s="346">
        <f t="shared" si="156"/>
        <v>0</v>
      </c>
      <c r="G208" s="346">
        <f t="shared" si="156"/>
        <v>0</v>
      </c>
      <c r="H208" s="346">
        <f t="shared" si="156"/>
        <v>0</v>
      </c>
      <c r="I208" s="346">
        <f t="shared" si="156"/>
        <v>0</v>
      </c>
      <c r="J208" s="346">
        <f t="shared" si="156"/>
        <v>0</v>
      </c>
      <c r="K208" s="346">
        <f t="shared" si="156"/>
        <v>0</v>
      </c>
      <c r="L208" s="346">
        <f t="shared" si="156"/>
        <v>0</v>
      </c>
      <c r="M208" s="346">
        <f t="shared" si="156"/>
        <v>0</v>
      </c>
      <c r="N208" s="346">
        <f t="shared" si="156"/>
        <v>0</v>
      </c>
      <c r="O208" s="346">
        <f t="shared" si="156"/>
        <v>0</v>
      </c>
      <c r="P208" s="304">
        <f t="shared" si="152"/>
        <v>4</v>
      </c>
      <c r="Q208" s="312">
        <f>MAX(C101:N101)</f>
        <v>0</v>
      </c>
      <c r="R208" s="313">
        <f aca="true" t="shared" si="157" ref="R208:W208">D190*$Q208/100000</f>
        <v>0</v>
      </c>
      <c r="S208" s="313">
        <f t="shared" si="157"/>
        <v>0</v>
      </c>
      <c r="T208" s="313">
        <f t="shared" si="157"/>
        <v>0</v>
      </c>
      <c r="U208" s="313">
        <f t="shared" si="157"/>
        <v>0</v>
      </c>
      <c r="V208" s="313">
        <f t="shared" si="157"/>
        <v>0</v>
      </c>
      <c r="W208" s="313">
        <f t="shared" si="157"/>
        <v>0</v>
      </c>
      <c r="X208" s="313">
        <f aca="true" t="shared" si="158" ref="X208:AC208">J190*$Q208/100000</f>
        <v>0</v>
      </c>
      <c r="Y208" s="313">
        <f t="shared" si="158"/>
        <v>0</v>
      </c>
      <c r="Z208" s="313">
        <f t="shared" si="158"/>
        <v>0</v>
      </c>
      <c r="AA208" s="313">
        <f t="shared" si="158"/>
        <v>0</v>
      </c>
      <c r="AB208" s="313">
        <f t="shared" si="158"/>
        <v>0</v>
      </c>
      <c r="AC208" s="313">
        <f t="shared" si="158"/>
        <v>0</v>
      </c>
      <c r="AD208" s="313">
        <f t="shared" si="155"/>
        <v>0</v>
      </c>
      <c r="AE208" s="152"/>
    </row>
    <row r="209" spans="1:31" ht="28.5" customHeight="1">
      <c r="A209" s="533">
        <v>9</v>
      </c>
      <c r="B209" s="584">
        <f>$B$50</f>
        <v>0</v>
      </c>
      <c r="C209" s="574" t="s">
        <v>609</v>
      </c>
      <c r="D209" s="348"/>
      <c r="E209" s="349"/>
      <c r="F209" s="349"/>
      <c r="G209" s="349"/>
      <c r="H209" s="349"/>
      <c r="I209" s="349"/>
      <c r="J209" s="349"/>
      <c r="K209" s="349"/>
      <c r="L209" s="349"/>
      <c r="M209" s="349"/>
      <c r="N209" s="349"/>
      <c r="O209" s="349"/>
      <c r="P209" s="304">
        <f t="shared" si="152"/>
        <v>5</v>
      </c>
      <c r="Q209" s="312">
        <f>MAX(C103:N103)</f>
        <v>0</v>
      </c>
      <c r="R209" s="313">
        <f aca="true" t="shared" si="159" ref="R209:W209">D194*$Q209/100000</f>
        <v>0</v>
      </c>
      <c r="S209" s="313">
        <f t="shared" si="159"/>
        <v>0</v>
      </c>
      <c r="T209" s="313">
        <f t="shared" si="159"/>
        <v>0</v>
      </c>
      <c r="U209" s="313">
        <f t="shared" si="159"/>
        <v>0</v>
      </c>
      <c r="V209" s="313">
        <f t="shared" si="159"/>
        <v>0</v>
      </c>
      <c r="W209" s="313">
        <f t="shared" si="159"/>
        <v>0</v>
      </c>
      <c r="X209" s="313">
        <f aca="true" t="shared" si="160" ref="X209:AC209">J194*$Q209/100000</f>
        <v>0</v>
      </c>
      <c r="Y209" s="313">
        <f t="shared" si="160"/>
        <v>0</v>
      </c>
      <c r="Z209" s="313">
        <f t="shared" si="160"/>
        <v>0</v>
      </c>
      <c r="AA209" s="313">
        <f t="shared" si="160"/>
        <v>0</v>
      </c>
      <c r="AB209" s="313">
        <f t="shared" si="160"/>
        <v>0</v>
      </c>
      <c r="AC209" s="313">
        <f t="shared" si="160"/>
        <v>0</v>
      </c>
      <c r="AD209" s="313">
        <f t="shared" si="155"/>
        <v>0</v>
      </c>
      <c r="AE209" s="152"/>
    </row>
    <row r="210" spans="1:31" ht="28.5" customHeight="1">
      <c r="A210" s="568"/>
      <c r="B210" s="584"/>
      <c r="C210" s="574" t="s">
        <v>610</v>
      </c>
      <c r="D210" s="350">
        <f aca="true" t="shared" si="161" ref="D210:O210">D$173*D209/100</f>
        <v>0</v>
      </c>
      <c r="E210" s="351">
        <f t="shared" si="161"/>
        <v>0</v>
      </c>
      <c r="F210" s="351">
        <f t="shared" si="161"/>
        <v>0</v>
      </c>
      <c r="G210" s="351">
        <f t="shared" si="161"/>
        <v>0</v>
      </c>
      <c r="H210" s="351">
        <f t="shared" si="161"/>
        <v>0</v>
      </c>
      <c r="I210" s="351">
        <f t="shared" si="161"/>
        <v>0</v>
      </c>
      <c r="J210" s="351">
        <f t="shared" si="161"/>
        <v>0</v>
      </c>
      <c r="K210" s="351">
        <f t="shared" si="161"/>
        <v>0</v>
      </c>
      <c r="L210" s="351">
        <f t="shared" si="161"/>
        <v>0</v>
      </c>
      <c r="M210" s="351">
        <f t="shared" si="161"/>
        <v>0</v>
      </c>
      <c r="N210" s="351">
        <f t="shared" si="161"/>
        <v>0</v>
      </c>
      <c r="O210" s="351">
        <f t="shared" si="161"/>
        <v>0</v>
      </c>
      <c r="P210" s="304">
        <f t="shared" si="152"/>
        <v>6</v>
      </c>
      <c r="Q210" s="312">
        <f>MAX(C105:N105)</f>
        <v>0</v>
      </c>
      <c r="R210" s="313">
        <f aca="true" t="shared" si="162" ref="R210:W210">D198*$Q210/100000</f>
        <v>0</v>
      </c>
      <c r="S210" s="313">
        <f t="shared" si="162"/>
        <v>0</v>
      </c>
      <c r="T210" s="313">
        <f t="shared" si="162"/>
        <v>0</v>
      </c>
      <c r="U210" s="313">
        <f t="shared" si="162"/>
        <v>0</v>
      </c>
      <c r="V210" s="313">
        <f t="shared" si="162"/>
        <v>0</v>
      </c>
      <c r="W210" s="313">
        <f t="shared" si="162"/>
        <v>0</v>
      </c>
      <c r="X210" s="313">
        <f aca="true" t="shared" si="163" ref="X210:AC210">J198*$Q210/100000</f>
        <v>0</v>
      </c>
      <c r="Y210" s="313">
        <f t="shared" si="163"/>
        <v>0</v>
      </c>
      <c r="Z210" s="313">
        <f t="shared" si="163"/>
        <v>0</v>
      </c>
      <c r="AA210" s="313">
        <f t="shared" si="163"/>
        <v>0</v>
      </c>
      <c r="AB210" s="313">
        <f t="shared" si="163"/>
        <v>0</v>
      </c>
      <c r="AC210" s="313">
        <f t="shared" si="163"/>
        <v>0</v>
      </c>
      <c r="AD210" s="313">
        <f t="shared" si="155"/>
        <v>0</v>
      </c>
      <c r="AE210" s="152"/>
    </row>
    <row r="211" spans="1:31" ht="28.5" customHeight="1" thickBot="1">
      <c r="A211" s="569"/>
      <c r="B211" s="585"/>
      <c r="C211" s="575" t="s">
        <v>612</v>
      </c>
      <c r="D211" s="352"/>
      <c r="E211" s="353"/>
      <c r="F211" s="353"/>
      <c r="G211" s="353"/>
      <c r="H211" s="353"/>
      <c r="I211" s="353"/>
      <c r="J211" s="353"/>
      <c r="K211" s="353"/>
      <c r="L211" s="353"/>
      <c r="M211" s="353"/>
      <c r="N211" s="353"/>
      <c r="O211" s="354"/>
      <c r="P211" s="304">
        <f t="shared" si="152"/>
        <v>7</v>
      </c>
      <c r="Q211" s="312">
        <f>MAX(C107:N107)</f>
        <v>0</v>
      </c>
      <c r="R211" s="313">
        <f aca="true" t="shared" si="164" ref="R211:W211">D202*$Q211/100000</f>
        <v>0</v>
      </c>
      <c r="S211" s="313">
        <f t="shared" si="164"/>
        <v>0</v>
      </c>
      <c r="T211" s="313">
        <f t="shared" si="164"/>
        <v>0</v>
      </c>
      <c r="U211" s="313">
        <f t="shared" si="164"/>
        <v>0</v>
      </c>
      <c r="V211" s="313">
        <f t="shared" si="164"/>
        <v>0</v>
      </c>
      <c r="W211" s="313">
        <f t="shared" si="164"/>
        <v>0</v>
      </c>
      <c r="X211" s="313">
        <f aca="true" t="shared" si="165" ref="X211:AC211">J202*$Q211/100000</f>
        <v>0</v>
      </c>
      <c r="Y211" s="313">
        <f t="shared" si="165"/>
        <v>0</v>
      </c>
      <c r="Z211" s="313">
        <f t="shared" si="165"/>
        <v>0</v>
      </c>
      <c r="AA211" s="313">
        <f t="shared" si="165"/>
        <v>0</v>
      </c>
      <c r="AB211" s="313">
        <f t="shared" si="165"/>
        <v>0</v>
      </c>
      <c r="AC211" s="313">
        <f t="shared" si="165"/>
        <v>0</v>
      </c>
      <c r="AD211" s="313">
        <f t="shared" si="155"/>
        <v>0</v>
      </c>
      <c r="AE211" s="152"/>
    </row>
    <row r="212" spans="1:31" ht="28.5" customHeight="1" thickTop="1">
      <c r="A212" s="533"/>
      <c r="B212" s="586"/>
      <c r="C212" s="573" t="s">
        <v>608</v>
      </c>
      <c r="D212" s="345">
        <f aca="true" t="shared" si="166" ref="D212:O212">R35</f>
        <v>0</v>
      </c>
      <c r="E212" s="346">
        <f t="shared" si="166"/>
        <v>0</v>
      </c>
      <c r="F212" s="346">
        <f t="shared" si="166"/>
        <v>0</v>
      </c>
      <c r="G212" s="346">
        <f t="shared" si="166"/>
        <v>0</v>
      </c>
      <c r="H212" s="346">
        <f t="shared" si="166"/>
        <v>0</v>
      </c>
      <c r="I212" s="346">
        <f t="shared" si="166"/>
        <v>0</v>
      </c>
      <c r="J212" s="346">
        <f t="shared" si="166"/>
        <v>0</v>
      </c>
      <c r="K212" s="346">
        <f t="shared" si="166"/>
        <v>0</v>
      </c>
      <c r="L212" s="346">
        <f t="shared" si="166"/>
        <v>0</v>
      </c>
      <c r="M212" s="346">
        <f t="shared" si="166"/>
        <v>0</v>
      </c>
      <c r="N212" s="346">
        <f t="shared" si="166"/>
        <v>0</v>
      </c>
      <c r="O212" s="346">
        <f t="shared" si="166"/>
        <v>0</v>
      </c>
      <c r="P212" s="304">
        <f t="shared" si="152"/>
        <v>8</v>
      </c>
      <c r="Q212" s="312">
        <f>MAX(C109:N109)</f>
        <v>0</v>
      </c>
      <c r="R212" s="313">
        <f aca="true" t="shared" si="167" ref="R212:W212">D206*$Q212/100000</f>
        <v>0</v>
      </c>
      <c r="S212" s="313">
        <f t="shared" si="167"/>
        <v>0</v>
      </c>
      <c r="T212" s="313">
        <f t="shared" si="167"/>
        <v>0</v>
      </c>
      <c r="U212" s="313">
        <f t="shared" si="167"/>
        <v>0</v>
      </c>
      <c r="V212" s="313">
        <f t="shared" si="167"/>
        <v>0</v>
      </c>
      <c r="W212" s="313">
        <f t="shared" si="167"/>
        <v>0</v>
      </c>
      <c r="X212" s="313">
        <f aca="true" t="shared" si="168" ref="X212:AC212">J206*$Q212/100000</f>
        <v>0</v>
      </c>
      <c r="Y212" s="313">
        <f t="shared" si="168"/>
        <v>0</v>
      </c>
      <c r="Z212" s="313">
        <f t="shared" si="168"/>
        <v>0</v>
      </c>
      <c r="AA212" s="313">
        <f t="shared" si="168"/>
        <v>0</v>
      </c>
      <c r="AB212" s="313">
        <f t="shared" si="168"/>
        <v>0</v>
      </c>
      <c r="AC212" s="313">
        <f t="shared" si="168"/>
        <v>0</v>
      </c>
      <c r="AD212" s="313">
        <f t="shared" si="155"/>
        <v>0</v>
      </c>
      <c r="AE212" s="152"/>
    </row>
    <row r="213" spans="1:31" ht="28.5" customHeight="1">
      <c r="A213" s="533">
        <v>10</v>
      </c>
      <c r="B213" s="584">
        <f>$B$51</f>
        <v>0</v>
      </c>
      <c r="C213" s="574" t="s">
        <v>609</v>
      </c>
      <c r="D213" s="348"/>
      <c r="E213" s="349"/>
      <c r="F213" s="349"/>
      <c r="G213" s="349"/>
      <c r="H213" s="349"/>
      <c r="I213" s="349"/>
      <c r="J213" s="349"/>
      <c r="K213" s="349"/>
      <c r="L213" s="349"/>
      <c r="M213" s="349"/>
      <c r="N213" s="349"/>
      <c r="O213" s="349"/>
      <c r="P213" s="304">
        <f t="shared" si="152"/>
        <v>9</v>
      </c>
      <c r="Q213" s="312">
        <f>MAX(C111:N111)</f>
        <v>0</v>
      </c>
      <c r="R213" s="313">
        <f aca="true" t="shared" si="169" ref="R213:W213">D210*$Q213/100000</f>
        <v>0</v>
      </c>
      <c r="S213" s="313">
        <f t="shared" si="169"/>
        <v>0</v>
      </c>
      <c r="T213" s="313">
        <f t="shared" si="169"/>
        <v>0</v>
      </c>
      <c r="U213" s="313">
        <f t="shared" si="169"/>
        <v>0</v>
      </c>
      <c r="V213" s="313">
        <f t="shared" si="169"/>
        <v>0</v>
      </c>
      <c r="W213" s="313">
        <f t="shared" si="169"/>
        <v>0</v>
      </c>
      <c r="X213" s="313">
        <f aca="true" t="shared" si="170" ref="X213:AC213">J210*$Q213/100000</f>
        <v>0</v>
      </c>
      <c r="Y213" s="313">
        <f t="shared" si="170"/>
        <v>0</v>
      </c>
      <c r="Z213" s="313">
        <f t="shared" si="170"/>
        <v>0</v>
      </c>
      <c r="AA213" s="313">
        <f t="shared" si="170"/>
        <v>0</v>
      </c>
      <c r="AB213" s="313">
        <f t="shared" si="170"/>
        <v>0</v>
      </c>
      <c r="AC213" s="313">
        <f t="shared" si="170"/>
        <v>0</v>
      </c>
      <c r="AD213" s="313">
        <f t="shared" si="155"/>
        <v>0</v>
      </c>
      <c r="AE213" s="152"/>
    </row>
    <row r="214" spans="1:31" ht="28.5" customHeight="1">
      <c r="A214" s="568"/>
      <c r="B214" s="584"/>
      <c r="C214" s="574" t="s">
        <v>610</v>
      </c>
      <c r="D214" s="350">
        <f aca="true" t="shared" si="171" ref="D214:O214">D$173*D213/100</f>
        <v>0</v>
      </c>
      <c r="E214" s="351">
        <f t="shared" si="171"/>
        <v>0</v>
      </c>
      <c r="F214" s="351">
        <f t="shared" si="171"/>
        <v>0</v>
      </c>
      <c r="G214" s="351">
        <f t="shared" si="171"/>
        <v>0</v>
      </c>
      <c r="H214" s="351">
        <f t="shared" si="171"/>
        <v>0</v>
      </c>
      <c r="I214" s="351">
        <f t="shared" si="171"/>
        <v>0</v>
      </c>
      <c r="J214" s="351">
        <f t="shared" si="171"/>
        <v>0</v>
      </c>
      <c r="K214" s="351">
        <f t="shared" si="171"/>
        <v>0</v>
      </c>
      <c r="L214" s="351">
        <f t="shared" si="171"/>
        <v>0</v>
      </c>
      <c r="M214" s="351">
        <f t="shared" si="171"/>
        <v>0</v>
      </c>
      <c r="N214" s="351">
        <f t="shared" si="171"/>
        <v>0</v>
      </c>
      <c r="O214" s="351">
        <f t="shared" si="171"/>
        <v>0</v>
      </c>
      <c r="P214" s="304">
        <f t="shared" si="152"/>
        <v>10</v>
      </c>
      <c r="Q214" s="312">
        <f>MAX(C113:N113)</f>
        <v>0</v>
      </c>
      <c r="R214" s="313">
        <f aca="true" t="shared" si="172" ref="R214:W214">D214*$Q214/100000</f>
        <v>0</v>
      </c>
      <c r="S214" s="313">
        <f t="shared" si="172"/>
        <v>0</v>
      </c>
      <c r="T214" s="313">
        <f t="shared" si="172"/>
        <v>0</v>
      </c>
      <c r="U214" s="313">
        <f t="shared" si="172"/>
        <v>0</v>
      </c>
      <c r="V214" s="313">
        <f t="shared" si="172"/>
        <v>0</v>
      </c>
      <c r="W214" s="313">
        <f t="shared" si="172"/>
        <v>0</v>
      </c>
      <c r="X214" s="313">
        <f aca="true" t="shared" si="173" ref="X214:AC214">J214*$Q214/100000</f>
        <v>0</v>
      </c>
      <c r="Y214" s="313">
        <f t="shared" si="173"/>
        <v>0</v>
      </c>
      <c r="Z214" s="313">
        <f t="shared" si="173"/>
        <v>0</v>
      </c>
      <c r="AA214" s="313">
        <f t="shared" si="173"/>
        <v>0</v>
      </c>
      <c r="AB214" s="313">
        <f t="shared" si="173"/>
        <v>0</v>
      </c>
      <c r="AC214" s="313">
        <f t="shared" si="173"/>
        <v>0</v>
      </c>
      <c r="AD214" s="313">
        <f t="shared" si="155"/>
        <v>0</v>
      </c>
      <c r="AE214" s="152"/>
    </row>
    <row r="215" spans="1:31" ht="28.5" customHeight="1" thickBot="1">
      <c r="A215" s="569"/>
      <c r="B215" s="585"/>
      <c r="C215" s="575" t="s">
        <v>612</v>
      </c>
      <c r="D215" s="352"/>
      <c r="E215" s="353"/>
      <c r="F215" s="353"/>
      <c r="G215" s="353"/>
      <c r="H215" s="353"/>
      <c r="I215" s="353"/>
      <c r="J215" s="353"/>
      <c r="K215" s="353"/>
      <c r="L215" s="353"/>
      <c r="M215" s="353"/>
      <c r="N215" s="353"/>
      <c r="O215" s="354"/>
      <c r="P215" s="304">
        <f t="shared" si="152"/>
        <v>11</v>
      </c>
      <c r="Q215" s="312">
        <f>MAX(C115:N115)</f>
        <v>0</v>
      </c>
      <c r="R215" s="313">
        <f aca="true" t="shared" si="174" ref="R215:W215">D218*$Q215/100000</f>
        <v>0</v>
      </c>
      <c r="S215" s="313">
        <f t="shared" si="174"/>
        <v>0</v>
      </c>
      <c r="T215" s="313">
        <f t="shared" si="174"/>
        <v>0</v>
      </c>
      <c r="U215" s="313">
        <f t="shared" si="174"/>
        <v>0</v>
      </c>
      <c r="V215" s="313">
        <f t="shared" si="174"/>
        <v>0</v>
      </c>
      <c r="W215" s="313">
        <f t="shared" si="174"/>
        <v>0</v>
      </c>
      <c r="X215" s="313">
        <f aca="true" t="shared" si="175" ref="X215:AC215">J218*$Q215/100000</f>
        <v>0</v>
      </c>
      <c r="Y215" s="313">
        <f t="shared" si="175"/>
        <v>0</v>
      </c>
      <c r="Z215" s="313">
        <f t="shared" si="175"/>
        <v>0</v>
      </c>
      <c r="AA215" s="313">
        <f t="shared" si="175"/>
        <v>0</v>
      </c>
      <c r="AB215" s="313">
        <f t="shared" si="175"/>
        <v>0</v>
      </c>
      <c r="AC215" s="313">
        <f t="shared" si="175"/>
        <v>0</v>
      </c>
      <c r="AD215" s="313">
        <f t="shared" si="155"/>
        <v>0</v>
      </c>
      <c r="AE215" s="210"/>
    </row>
    <row r="216" spans="1:31" ht="28.5" customHeight="1" thickTop="1">
      <c r="A216" s="533"/>
      <c r="B216" s="586"/>
      <c r="C216" s="573" t="s">
        <v>608</v>
      </c>
      <c r="D216" s="345">
        <f aca="true" t="shared" si="176" ref="D216:O216">R36</f>
        <v>0</v>
      </c>
      <c r="E216" s="346">
        <f t="shared" si="176"/>
        <v>0</v>
      </c>
      <c r="F216" s="346">
        <f t="shared" si="176"/>
        <v>0</v>
      </c>
      <c r="G216" s="346">
        <f t="shared" si="176"/>
        <v>0</v>
      </c>
      <c r="H216" s="346">
        <f t="shared" si="176"/>
        <v>0</v>
      </c>
      <c r="I216" s="346">
        <f t="shared" si="176"/>
        <v>0</v>
      </c>
      <c r="J216" s="346">
        <f t="shared" si="176"/>
        <v>0</v>
      </c>
      <c r="K216" s="346">
        <f t="shared" si="176"/>
        <v>0</v>
      </c>
      <c r="L216" s="346">
        <f t="shared" si="176"/>
        <v>0</v>
      </c>
      <c r="M216" s="346">
        <f t="shared" si="176"/>
        <v>0</v>
      </c>
      <c r="N216" s="346">
        <f t="shared" si="176"/>
        <v>0</v>
      </c>
      <c r="O216" s="346">
        <f t="shared" si="176"/>
        <v>0</v>
      </c>
      <c r="P216" s="304">
        <f t="shared" si="152"/>
        <v>12</v>
      </c>
      <c r="Q216" s="312">
        <f>MAX(C117:N117)</f>
        <v>0</v>
      </c>
      <c r="R216" s="313">
        <f aca="true" t="shared" si="177" ref="R216:W216">D222*$Q216/100000</f>
        <v>0</v>
      </c>
      <c r="S216" s="313">
        <f t="shared" si="177"/>
        <v>0</v>
      </c>
      <c r="T216" s="313">
        <f t="shared" si="177"/>
        <v>0</v>
      </c>
      <c r="U216" s="313">
        <f t="shared" si="177"/>
        <v>0</v>
      </c>
      <c r="V216" s="313">
        <f t="shared" si="177"/>
        <v>0</v>
      </c>
      <c r="W216" s="313">
        <f t="shared" si="177"/>
        <v>0</v>
      </c>
      <c r="X216" s="313">
        <f aca="true" t="shared" si="178" ref="X216:AC216">J222*$Q216/100000</f>
        <v>0</v>
      </c>
      <c r="Y216" s="313">
        <f t="shared" si="178"/>
        <v>0</v>
      </c>
      <c r="Z216" s="313">
        <f t="shared" si="178"/>
        <v>0</v>
      </c>
      <c r="AA216" s="313">
        <f t="shared" si="178"/>
        <v>0</v>
      </c>
      <c r="AB216" s="313">
        <f t="shared" si="178"/>
        <v>0</v>
      </c>
      <c r="AC216" s="313">
        <f t="shared" si="178"/>
        <v>0</v>
      </c>
      <c r="AD216" s="313">
        <f t="shared" si="155"/>
        <v>0</v>
      </c>
      <c r="AE216" s="152"/>
    </row>
    <row r="217" spans="1:31" ht="28.5" customHeight="1">
      <c r="A217" s="533">
        <v>11</v>
      </c>
      <c r="B217" s="584">
        <f>$B$52</f>
        <v>0</v>
      </c>
      <c r="C217" s="574" t="s">
        <v>609</v>
      </c>
      <c r="D217" s="348"/>
      <c r="E217" s="349"/>
      <c r="F217" s="349"/>
      <c r="G217" s="349"/>
      <c r="H217" s="349"/>
      <c r="I217" s="349"/>
      <c r="J217" s="349"/>
      <c r="K217" s="349"/>
      <c r="L217" s="349"/>
      <c r="M217" s="349"/>
      <c r="N217" s="349"/>
      <c r="O217" s="349"/>
      <c r="P217" s="304">
        <f t="shared" si="152"/>
        <v>13</v>
      </c>
      <c r="Q217" s="312">
        <f>MAX(C119:N119)</f>
        <v>0</v>
      </c>
      <c r="R217" s="313">
        <f aca="true" t="shared" si="179" ref="R217:W217">D226*$Q217/100000</f>
        <v>0</v>
      </c>
      <c r="S217" s="313">
        <f t="shared" si="179"/>
        <v>0</v>
      </c>
      <c r="T217" s="313">
        <f t="shared" si="179"/>
        <v>0</v>
      </c>
      <c r="U217" s="313">
        <f t="shared" si="179"/>
        <v>0</v>
      </c>
      <c r="V217" s="313">
        <f t="shared" si="179"/>
        <v>0</v>
      </c>
      <c r="W217" s="313">
        <f t="shared" si="179"/>
        <v>0</v>
      </c>
      <c r="X217" s="313">
        <f aca="true" t="shared" si="180" ref="X217:AC217">J226*$Q217/100000</f>
        <v>0</v>
      </c>
      <c r="Y217" s="313">
        <f t="shared" si="180"/>
        <v>0</v>
      </c>
      <c r="Z217" s="313">
        <f t="shared" si="180"/>
        <v>0</v>
      </c>
      <c r="AA217" s="313">
        <f t="shared" si="180"/>
        <v>0</v>
      </c>
      <c r="AB217" s="313">
        <f t="shared" si="180"/>
        <v>0</v>
      </c>
      <c r="AC217" s="313">
        <f t="shared" si="180"/>
        <v>0</v>
      </c>
      <c r="AD217" s="313">
        <f t="shared" si="155"/>
        <v>0</v>
      </c>
      <c r="AE217" s="152"/>
    </row>
    <row r="218" spans="1:31" ht="28.5" customHeight="1">
      <c r="A218" s="568"/>
      <c r="B218" s="584"/>
      <c r="C218" s="574" t="s">
        <v>610</v>
      </c>
      <c r="D218" s="350">
        <f aca="true" t="shared" si="181" ref="D218:O218">D$173*D217/100</f>
        <v>0</v>
      </c>
      <c r="E218" s="351">
        <f t="shared" si="181"/>
        <v>0</v>
      </c>
      <c r="F218" s="351">
        <f t="shared" si="181"/>
        <v>0</v>
      </c>
      <c r="G218" s="351">
        <f t="shared" si="181"/>
        <v>0</v>
      </c>
      <c r="H218" s="351">
        <f t="shared" si="181"/>
        <v>0</v>
      </c>
      <c r="I218" s="351">
        <f t="shared" si="181"/>
        <v>0</v>
      </c>
      <c r="J218" s="351">
        <f t="shared" si="181"/>
        <v>0</v>
      </c>
      <c r="K218" s="351">
        <f t="shared" si="181"/>
        <v>0</v>
      </c>
      <c r="L218" s="351">
        <f t="shared" si="181"/>
        <v>0</v>
      </c>
      <c r="M218" s="351">
        <f t="shared" si="181"/>
        <v>0</v>
      </c>
      <c r="N218" s="351">
        <f t="shared" si="181"/>
        <v>0</v>
      </c>
      <c r="O218" s="351">
        <f t="shared" si="181"/>
        <v>0</v>
      </c>
      <c r="P218" s="304">
        <f t="shared" si="152"/>
        <v>14</v>
      </c>
      <c r="Q218" s="312">
        <f>MAX(C121:N121)</f>
        <v>0</v>
      </c>
      <c r="R218" s="313">
        <f aca="true" t="shared" si="182" ref="R218:W218">D230*$Q218/100000</f>
        <v>0</v>
      </c>
      <c r="S218" s="313">
        <f t="shared" si="182"/>
        <v>0</v>
      </c>
      <c r="T218" s="313">
        <f t="shared" si="182"/>
        <v>0</v>
      </c>
      <c r="U218" s="313">
        <f t="shared" si="182"/>
        <v>0</v>
      </c>
      <c r="V218" s="313">
        <f t="shared" si="182"/>
        <v>0</v>
      </c>
      <c r="W218" s="313">
        <f t="shared" si="182"/>
        <v>0</v>
      </c>
      <c r="X218" s="313">
        <f aca="true" t="shared" si="183" ref="X218:AC218">J230*$Q218/100000</f>
        <v>0</v>
      </c>
      <c r="Y218" s="313">
        <f t="shared" si="183"/>
        <v>0</v>
      </c>
      <c r="Z218" s="313">
        <f t="shared" si="183"/>
        <v>0</v>
      </c>
      <c r="AA218" s="313">
        <f t="shared" si="183"/>
        <v>0</v>
      </c>
      <c r="AB218" s="313">
        <f t="shared" si="183"/>
        <v>0</v>
      </c>
      <c r="AC218" s="313">
        <f t="shared" si="183"/>
        <v>0</v>
      </c>
      <c r="AD218" s="313">
        <f t="shared" si="155"/>
        <v>0</v>
      </c>
      <c r="AE218" s="152"/>
    </row>
    <row r="219" spans="1:31" ht="28.5" customHeight="1" thickBot="1">
      <c r="A219" s="569"/>
      <c r="B219" s="585"/>
      <c r="C219" s="575" t="s">
        <v>612</v>
      </c>
      <c r="D219" s="352"/>
      <c r="E219" s="353"/>
      <c r="F219" s="353"/>
      <c r="G219" s="353"/>
      <c r="H219" s="353"/>
      <c r="I219" s="353"/>
      <c r="J219" s="353"/>
      <c r="K219" s="353"/>
      <c r="L219" s="353"/>
      <c r="M219" s="353"/>
      <c r="N219" s="353"/>
      <c r="O219" s="354"/>
      <c r="P219" s="304">
        <f t="shared" si="152"/>
        <v>15</v>
      </c>
      <c r="Q219" s="312">
        <f>MAX(C123:N123)</f>
        <v>0</v>
      </c>
      <c r="R219" s="313">
        <f aca="true" t="shared" si="184" ref="R219:W219">D234*Q219/100000</f>
        <v>0</v>
      </c>
      <c r="S219" s="313">
        <f t="shared" si="184"/>
        <v>0</v>
      </c>
      <c r="T219" s="313">
        <f t="shared" si="184"/>
        <v>0</v>
      </c>
      <c r="U219" s="313">
        <f t="shared" si="184"/>
        <v>0</v>
      </c>
      <c r="V219" s="313">
        <f t="shared" si="184"/>
        <v>0</v>
      </c>
      <c r="W219" s="313">
        <f t="shared" si="184"/>
        <v>0</v>
      </c>
      <c r="X219" s="313">
        <f aca="true" t="shared" si="185" ref="X219:AC219">J234*W219/100000</f>
        <v>0</v>
      </c>
      <c r="Y219" s="313">
        <f t="shared" si="185"/>
        <v>0</v>
      </c>
      <c r="Z219" s="313">
        <f t="shared" si="185"/>
        <v>0</v>
      </c>
      <c r="AA219" s="313">
        <f t="shared" si="185"/>
        <v>0</v>
      </c>
      <c r="AB219" s="313">
        <f t="shared" si="185"/>
        <v>0</v>
      </c>
      <c r="AC219" s="313">
        <f t="shared" si="185"/>
        <v>0</v>
      </c>
      <c r="AD219" s="313">
        <f t="shared" si="155"/>
        <v>0</v>
      </c>
      <c r="AE219" s="152"/>
    </row>
    <row r="220" spans="1:31" ht="28.5" customHeight="1" thickTop="1">
      <c r="A220" s="533"/>
      <c r="B220" s="586"/>
      <c r="C220" s="573" t="s">
        <v>608</v>
      </c>
      <c r="D220" s="345">
        <f aca="true" t="shared" si="186" ref="D220:O220">R37</f>
        <v>0</v>
      </c>
      <c r="E220" s="346">
        <f t="shared" si="186"/>
        <v>0</v>
      </c>
      <c r="F220" s="346">
        <f t="shared" si="186"/>
        <v>0</v>
      </c>
      <c r="G220" s="346">
        <f t="shared" si="186"/>
        <v>0</v>
      </c>
      <c r="H220" s="346">
        <f t="shared" si="186"/>
        <v>0</v>
      </c>
      <c r="I220" s="346">
        <f t="shared" si="186"/>
        <v>0</v>
      </c>
      <c r="J220" s="346">
        <f t="shared" si="186"/>
        <v>0</v>
      </c>
      <c r="K220" s="346">
        <f t="shared" si="186"/>
        <v>0</v>
      </c>
      <c r="L220" s="346">
        <f t="shared" si="186"/>
        <v>0</v>
      </c>
      <c r="M220" s="346">
        <f t="shared" si="186"/>
        <v>0</v>
      </c>
      <c r="N220" s="346">
        <f t="shared" si="186"/>
        <v>0</v>
      </c>
      <c r="O220" s="346">
        <f t="shared" si="186"/>
        <v>0</v>
      </c>
      <c r="P220" s="304">
        <f t="shared" si="152"/>
        <v>16</v>
      </c>
      <c r="Q220" s="312">
        <f>MAX(C125:N125)</f>
        <v>0</v>
      </c>
      <c r="R220" s="313">
        <f aca="true" t="shared" si="187" ref="R220:W220">D238*$Q220/100000</f>
        <v>0</v>
      </c>
      <c r="S220" s="313">
        <f t="shared" si="187"/>
        <v>0</v>
      </c>
      <c r="T220" s="313">
        <f t="shared" si="187"/>
        <v>0</v>
      </c>
      <c r="U220" s="313">
        <f t="shared" si="187"/>
        <v>0</v>
      </c>
      <c r="V220" s="313">
        <f t="shared" si="187"/>
        <v>0</v>
      </c>
      <c r="W220" s="313">
        <f t="shared" si="187"/>
        <v>0</v>
      </c>
      <c r="X220" s="313">
        <f aca="true" t="shared" si="188" ref="X220:AC220">J238*$Q220/100000</f>
        <v>0</v>
      </c>
      <c r="Y220" s="313">
        <f t="shared" si="188"/>
        <v>0</v>
      </c>
      <c r="Z220" s="313">
        <f t="shared" si="188"/>
        <v>0</v>
      </c>
      <c r="AA220" s="313">
        <f t="shared" si="188"/>
        <v>0</v>
      </c>
      <c r="AB220" s="313">
        <f t="shared" si="188"/>
        <v>0</v>
      </c>
      <c r="AC220" s="313">
        <f t="shared" si="188"/>
        <v>0</v>
      </c>
      <c r="AD220" s="313">
        <f t="shared" si="155"/>
        <v>0</v>
      </c>
      <c r="AE220" s="152"/>
    </row>
    <row r="221" spans="1:31" ht="28.5" customHeight="1">
      <c r="A221" s="533">
        <v>12</v>
      </c>
      <c r="B221" s="584">
        <f>$B$53</f>
        <v>0</v>
      </c>
      <c r="C221" s="574" t="s">
        <v>609</v>
      </c>
      <c r="D221" s="348"/>
      <c r="E221" s="349"/>
      <c r="F221" s="349"/>
      <c r="G221" s="349"/>
      <c r="H221" s="349"/>
      <c r="I221" s="349"/>
      <c r="J221" s="349"/>
      <c r="K221" s="349"/>
      <c r="L221" s="349"/>
      <c r="M221" s="349"/>
      <c r="N221" s="349"/>
      <c r="O221" s="349"/>
      <c r="P221" s="304">
        <f t="shared" si="152"/>
        <v>17</v>
      </c>
      <c r="Q221" s="312">
        <f>MAX(C127:N127)</f>
        <v>0</v>
      </c>
      <c r="R221" s="313">
        <f aca="true" t="shared" si="189" ref="R221:W221">D242*$Q221/100000</f>
        <v>0</v>
      </c>
      <c r="S221" s="313">
        <f t="shared" si="189"/>
        <v>0</v>
      </c>
      <c r="T221" s="313">
        <f t="shared" si="189"/>
        <v>0</v>
      </c>
      <c r="U221" s="313">
        <f t="shared" si="189"/>
        <v>0</v>
      </c>
      <c r="V221" s="313">
        <f t="shared" si="189"/>
        <v>0</v>
      </c>
      <c r="W221" s="313">
        <f t="shared" si="189"/>
        <v>0</v>
      </c>
      <c r="X221" s="313">
        <f aca="true" t="shared" si="190" ref="X221:AC221">J242*$Q221/100000</f>
        <v>0</v>
      </c>
      <c r="Y221" s="313">
        <f t="shared" si="190"/>
        <v>0</v>
      </c>
      <c r="Z221" s="313">
        <f t="shared" si="190"/>
        <v>0</v>
      </c>
      <c r="AA221" s="313">
        <f t="shared" si="190"/>
        <v>0</v>
      </c>
      <c r="AB221" s="313">
        <f t="shared" si="190"/>
        <v>0</v>
      </c>
      <c r="AC221" s="313">
        <f t="shared" si="190"/>
        <v>0</v>
      </c>
      <c r="AD221" s="313">
        <f t="shared" si="155"/>
        <v>0</v>
      </c>
      <c r="AE221" s="152"/>
    </row>
    <row r="222" spans="1:31" ht="28.5" customHeight="1">
      <c r="A222" s="568"/>
      <c r="B222" s="584"/>
      <c r="C222" s="574" t="s">
        <v>610</v>
      </c>
      <c r="D222" s="350">
        <f aca="true" t="shared" si="191" ref="D222:O222">D$173*D221/100</f>
        <v>0</v>
      </c>
      <c r="E222" s="351">
        <f t="shared" si="191"/>
        <v>0</v>
      </c>
      <c r="F222" s="351">
        <f t="shared" si="191"/>
        <v>0</v>
      </c>
      <c r="G222" s="351">
        <f t="shared" si="191"/>
        <v>0</v>
      </c>
      <c r="H222" s="351">
        <f t="shared" si="191"/>
        <v>0</v>
      </c>
      <c r="I222" s="351">
        <f t="shared" si="191"/>
        <v>0</v>
      </c>
      <c r="J222" s="351">
        <f t="shared" si="191"/>
        <v>0</v>
      </c>
      <c r="K222" s="351">
        <f t="shared" si="191"/>
        <v>0</v>
      </c>
      <c r="L222" s="351">
        <f t="shared" si="191"/>
        <v>0</v>
      </c>
      <c r="M222" s="351">
        <f t="shared" si="191"/>
        <v>0</v>
      </c>
      <c r="N222" s="351">
        <f t="shared" si="191"/>
        <v>0</v>
      </c>
      <c r="O222" s="351">
        <f t="shared" si="191"/>
        <v>0</v>
      </c>
      <c r="P222" s="152"/>
      <c r="Q222" s="152"/>
      <c r="R222" s="152"/>
      <c r="S222" s="152"/>
      <c r="T222" s="152"/>
      <c r="U222" s="152"/>
      <c r="V222" s="152"/>
      <c r="W222" s="152"/>
      <c r="X222" s="152"/>
      <c r="Y222" s="152"/>
      <c r="Z222" s="152"/>
      <c r="AA222" s="152"/>
      <c r="AB222" s="152"/>
      <c r="AC222" s="152"/>
      <c r="AD222" s="313">
        <f t="shared" si="155"/>
        <v>0</v>
      </c>
      <c r="AE222" s="152"/>
    </row>
    <row r="223" spans="1:31" ht="28.5" customHeight="1" thickBot="1">
      <c r="A223" s="569"/>
      <c r="B223" s="585"/>
      <c r="C223" s="575" t="s">
        <v>612</v>
      </c>
      <c r="D223" s="352"/>
      <c r="E223" s="353"/>
      <c r="F223" s="353"/>
      <c r="G223" s="353"/>
      <c r="H223" s="353"/>
      <c r="I223" s="353"/>
      <c r="J223" s="353"/>
      <c r="K223" s="353"/>
      <c r="L223" s="353"/>
      <c r="M223" s="353"/>
      <c r="N223" s="353"/>
      <c r="O223" s="354"/>
      <c r="P223" s="152"/>
      <c r="Q223" s="152"/>
      <c r="R223" s="152"/>
      <c r="S223" s="152"/>
      <c r="T223" s="152"/>
      <c r="U223" s="152"/>
      <c r="V223" s="152"/>
      <c r="W223" s="152"/>
      <c r="X223" s="152"/>
      <c r="Y223" s="152"/>
      <c r="Z223" s="152"/>
      <c r="AA223" s="152"/>
      <c r="AB223" s="152"/>
      <c r="AC223" s="152"/>
      <c r="AD223" s="152"/>
      <c r="AE223" s="152"/>
    </row>
    <row r="224" spans="1:31" ht="28.5" customHeight="1" thickTop="1">
      <c r="A224" s="533"/>
      <c r="B224" s="586"/>
      <c r="C224" s="573" t="s">
        <v>608</v>
      </c>
      <c r="D224" s="345">
        <f aca="true" t="shared" si="192" ref="D224:O224">R38</f>
        <v>0</v>
      </c>
      <c r="E224" s="346">
        <f t="shared" si="192"/>
        <v>0</v>
      </c>
      <c r="F224" s="346">
        <f t="shared" si="192"/>
        <v>0</v>
      </c>
      <c r="G224" s="346">
        <f t="shared" si="192"/>
        <v>0</v>
      </c>
      <c r="H224" s="346">
        <f t="shared" si="192"/>
        <v>0</v>
      </c>
      <c r="I224" s="346">
        <f t="shared" si="192"/>
        <v>0</v>
      </c>
      <c r="J224" s="346">
        <f t="shared" si="192"/>
        <v>0</v>
      </c>
      <c r="K224" s="346">
        <f t="shared" si="192"/>
        <v>0</v>
      </c>
      <c r="L224" s="346">
        <f t="shared" si="192"/>
        <v>0</v>
      </c>
      <c r="M224" s="346">
        <f t="shared" si="192"/>
        <v>0</v>
      </c>
      <c r="N224" s="346">
        <f t="shared" si="192"/>
        <v>0</v>
      </c>
      <c r="O224" s="346">
        <f t="shared" si="192"/>
        <v>0</v>
      </c>
      <c r="P224" s="152"/>
      <c r="Q224" s="152"/>
      <c r="R224" s="152"/>
      <c r="S224" s="152"/>
      <c r="T224" s="152"/>
      <c r="U224" s="152"/>
      <c r="V224" s="152"/>
      <c r="W224" s="152"/>
      <c r="X224" s="152"/>
      <c r="Y224" s="152"/>
      <c r="Z224" s="152"/>
      <c r="AA224" s="152"/>
      <c r="AB224" s="152"/>
      <c r="AC224" s="152"/>
      <c r="AD224" s="152"/>
      <c r="AE224" s="152"/>
    </row>
    <row r="225" spans="1:31" ht="28.5" customHeight="1">
      <c r="A225" s="533">
        <v>13</v>
      </c>
      <c r="B225" s="584">
        <f>$B$54</f>
        <v>0</v>
      </c>
      <c r="C225" s="574" t="s">
        <v>609</v>
      </c>
      <c r="D225" s="348"/>
      <c r="E225" s="349"/>
      <c r="F225" s="349"/>
      <c r="G225" s="349"/>
      <c r="H225" s="349"/>
      <c r="I225" s="349"/>
      <c r="J225" s="349"/>
      <c r="K225" s="349"/>
      <c r="L225" s="349"/>
      <c r="M225" s="349"/>
      <c r="N225" s="349"/>
      <c r="O225" s="349"/>
      <c r="P225" s="152"/>
      <c r="Q225" s="152"/>
      <c r="R225" s="152"/>
      <c r="S225" s="152"/>
      <c r="T225" s="152"/>
      <c r="U225" s="152"/>
      <c r="V225" s="152"/>
      <c r="W225" s="152"/>
      <c r="X225" s="152"/>
      <c r="Y225" s="152"/>
      <c r="Z225" s="152"/>
      <c r="AA225" s="152"/>
      <c r="AB225" s="152"/>
      <c r="AC225" s="152"/>
      <c r="AD225" s="152"/>
      <c r="AE225" s="152"/>
    </row>
    <row r="226" spans="1:31" ht="28.5" customHeight="1">
      <c r="A226" s="568"/>
      <c r="B226" s="584"/>
      <c r="C226" s="574" t="s">
        <v>610</v>
      </c>
      <c r="D226" s="350">
        <f aca="true" t="shared" si="193" ref="D226:O226">D$173*D225/100</f>
        <v>0</v>
      </c>
      <c r="E226" s="351">
        <f t="shared" si="193"/>
        <v>0</v>
      </c>
      <c r="F226" s="351">
        <f t="shared" si="193"/>
        <v>0</v>
      </c>
      <c r="G226" s="351">
        <f t="shared" si="193"/>
        <v>0</v>
      </c>
      <c r="H226" s="351">
        <f t="shared" si="193"/>
        <v>0</v>
      </c>
      <c r="I226" s="351">
        <f t="shared" si="193"/>
        <v>0</v>
      </c>
      <c r="J226" s="351">
        <f t="shared" si="193"/>
        <v>0</v>
      </c>
      <c r="K226" s="351">
        <f t="shared" si="193"/>
        <v>0</v>
      </c>
      <c r="L226" s="351">
        <f t="shared" si="193"/>
        <v>0</v>
      </c>
      <c r="M226" s="351">
        <f t="shared" si="193"/>
        <v>0</v>
      </c>
      <c r="N226" s="351">
        <f t="shared" si="193"/>
        <v>0</v>
      </c>
      <c r="O226" s="351">
        <f t="shared" si="193"/>
        <v>0</v>
      </c>
      <c r="P226" s="152" t="s">
        <v>617</v>
      </c>
      <c r="Q226" s="152"/>
      <c r="R226" s="152"/>
      <c r="S226" s="152"/>
      <c r="T226" s="152"/>
      <c r="U226" s="152"/>
      <c r="V226" s="152"/>
      <c r="W226" s="152"/>
      <c r="X226" s="152"/>
      <c r="Y226" s="152"/>
      <c r="Z226" s="152"/>
      <c r="AA226" s="152"/>
      <c r="AB226" s="152"/>
      <c r="AC226" s="152"/>
      <c r="AD226" s="152"/>
      <c r="AE226" s="152"/>
    </row>
    <row r="227" spans="1:31" ht="28.5" customHeight="1" thickBot="1">
      <c r="A227" s="569"/>
      <c r="B227" s="585"/>
      <c r="C227" s="575" t="s">
        <v>612</v>
      </c>
      <c r="D227" s="352"/>
      <c r="E227" s="353"/>
      <c r="F227" s="353"/>
      <c r="G227" s="353"/>
      <c r="H227" s="353"/>
      <c r="I227" s="353"/>
      <c r="J227" s="353"/>
      <c r="K227" s="353"/>
      <c r="L227" s="353"/>
      <c r="M227" s="353"/>
      <c r="N227" s="353"/>
      <c r="O227" s="354"/>
      <c r="P227" s="304" t="s">
        <v>618</v>
      </c>
      <c r="Q227" s="286">
        <f>SUM(Q229:Q245)</f>
        <v>0</v>
      </c>
      <c r="R227" s="286">
        <f aca="true" t="shared" si="194" ref="R227:AB227">SUM(R229:R245)</f>
        <v>0</v>
      </c>
      <c r="S227" s="286">
        <f t="shared" si="194"/>
        <v>0</v>
      </c>
      <c r="T227" s="286">
        <f t="shared" si="194"/>
        <v>0</v>
      </c>
      <c r="U227" s="286">
        <f t="shared" si="194"/>
        <v>0</v>
      </c>
      <c r="V227" s="286">
        <f t="shared" si="194"/>
        <v>0</v>
      </c>
      <c r="W227" s="286">
        <f t="shared" si="194"/>
        <v>0</v>
      </c>
      <c r="X227" s="286">
        <f t="shared" si="194"/>
        <v>0</v>
      </c>
      <c r="Y227" s="286">
        <f t="shared" si="194"/>
        <v>0</v>
      </c>
      <c r="Z227" s="286">
        <f t="shared" si="194"/>
        <v>0</v>
      </c>
      <c r="AA227" s="286">
        <f t="shared" si="194"/>
        <v>0</v>
      </c>
      <c r="AB227" s="286">
        <f t="shared" si="194"/>
        <v>0</v>
      </c>
      <c r="AC227" s="152"/>
      <c r="AD227" s="152"/>
      <c r="AE227" s="152"/>
    </row>
    <row r="228" spans="1:31" ht="28.5" customHeight="1" thickBot="1" thickTop="1">
      <c r="A228" s="533"/>
      <c r="B228" s="586"/>
      <c r="C228" s="573" t="s">
        <v>608</v>
      </c>
      <c r="D228" s="345">
        <f aca="true" t="shared" si="195" ref="D228:O228">R39</f>
        <v>0</v>
      </c>
      <c r="E228" s="346">
        <f t="shared" si="195"/>
        <v>0</v>
      </c>
      <c r="F228" s="346">
        <f t="shared" si="195"/>
        <v>0</v>
      </c>
      <c r="G228" s="346">
        <f t="shared" si="195"/>
        <v>0</v>
      </c>
      <c r="H228" s="346">
        <f t="shared" si="195"/>
        <v>0</v>
      </c>
      <c r="I228" s="346">
        <f t="shared" si="195"/>
        <v>0</v>
      </c>
      <c r="J228" s="346">
        <f t="shared" si="195"/>
        <v>0</v>
      </c>
      <c r="K228" s="346">
        <f t="shared" si="195"/>
        <v>0</v>
      </c>
      <c r="L228" s="346">
        <f t="shared" si="195"/>
        <v>0</v>
      </c>
      <c r="M228" s="346">
        <f t="shared" si="195"/>
        <v>0</v>
      </c>
      <c r="N228" s="346">
        <f t="shared" si="195"/>
        <v>0</v>
      </c>
      <c r="O228" s="346">
        <f t="shared" si="195"/>
        <v>0</v>
      </c>
      <c r="P228" s="314" t="s">
        <v>619</v>
      </c>
      <c r="Q228" s="290">
        <f aca="true" t="shared" si="196" ref="Q228:W228">D40</f>
        <v>0</v>
      </c>
      <c r="R228" s="275">
        <f t="shared" si="196"/>
        <v>0</v>
      </c>
      <c r="S228" s="275">
        <f t="shared" si="196"/>
        <v>0</v>
      </c>
      <c r="T228" s="275">
        <f t="shared" si="196"/>
        <v>0</v>
      </c>
      <c r="U228" s="275">
        <f t="shared" si="196"/>
        <v>0</v>
      </c>
      <c r="V228" s="275">
        <f t="shared" si="196"/>
        <v>0</v>
      </c>
      <c r="W228" s="275">
        <f t="shared" si="196"/>
        <v>0</v>
      </c>
      <c r="X228" s="275">
        <f>K40</f>
        <v>0</v>
      </c>
      <c r="Y228" s="275">
        <f>L40</f>
        <v>0</v>
      </c>
      <c r="Z228" s="275">
        <f>M40</f>
        <v>0</v>
      </c>
      <c r="AA228" s="275">
        <f>N40</f>
        <v>0</v>
      </c>
      <c r="AB228" s="275">
        <f>O40</f>
        <v>0</v>
      </c>
      <c r="AC228" s="152" t="s">
        <v>226</v>
      </c>
      <c r="AD228" s="152"/>
      <c r="AE228" s="152"/>
    </row>
    <row r="229" spans="1:31" ht="28.5" customHeight="1">
      <c r="A229" s="533">
        <v>14</v>
      </c>
      <c r="B229" s="584">
        <f>$B$55</f>
        <v>0</v>
      </c>
      <c r="C229" s="574" t="s">
        <v>609</v>
      </c>
      <c r="D229" s="348"/>
      <c r="E229" s="349"/>
      <c r="F229" s="349"/>
      <c r="G229" s="349"/>
      <c r="H229" s="349"/>
      <c r="I229" s="349"/>
      <c r="J229" s="349"/>
      <c r="K229" s="349"/>
      <c r="L229" s="349"/>
      <c r="M229" s="349"/>
      <c r="N229" s="349"/>
      <c r="O229" s="349"/>
      <c r="P229" s="315">
        <v>1</v>
      </c>
      <c r="Q229" s="286">
        <f aca="true" t="shared" si="197" ref="Q229:W229">C259/100000*$O95</f>
        <v>0</v>
      </c>
      <c r="R229" s="286">
        <f t="shared" si="197"/>
        <v>0</v>
      </c>
      <c r="S229" s="286">
        <f t="shared" si="197"/>
        <v>0</v>
      </c>
      <c r="T229" s="286">
        <f t="shared" si="197"/>
        <v>0</v>
      </c>
      <c r="U229" s="286">
        <f t="shared" si="197"/>
        <v>0</v>
      </c>
      <c r="V229" s="286">
        <f t="shared" si="197"/>
        <v>0</v>
      </c>
      <c r="W229" s="286">
        <f t="shared" si="197"/>
        <v>0</v>
      </c>
      <c r="X229" s="286">
        <f>J259/100000*$O95</f>
        <v>0</v>
      </c>
      <c r="Y229" s="286">
        <f>K259/100000*$O95</f>
        <v>0</v>
      </c>
      <c r="Z229" s="286">
        <f>L259/100000*$O95</f>
        <v>0</v>
      </c>
      <c r="AA229" s="286">
        <f>M259/100000*$O95</f>
        <v>0</v>
      </c>
      <c r="AB229" s="286">
        <f>N259/100000*$O95</f>
        <v>0</v>
      </c>
      <c r="AC229" s="286">
        <f aca="true" t="shared" si="198" ref="AC229:AC245">SUM(Q230:AB230)</f>
        <v>0</v>
      </c>
      <c r="AD229" s="152"/>
      <c r="AE229" s="152"/>
    </row>
    <row r="230" spans="1:31" ht="28.5" customHeight="1">
      <c r="A230" s="568"/>
      <c r="B230" s="584"/>
      <c r="C230" s="574" t="s">
        <v>610</v>
      </c>
      <c r="D230" s="350">
        <f aca="true" t="shared" si="199" ref="D230:O230">D$173*D229/100</f>
        <v>0</v>
      </c>
      <c r="E230" s="351">
        <f t="shared" si="199"/>
        <v>0</v>
      </c>
      <c r="F230" s="351">
        <f t="shared" si="199"/>
        <v>0</v>
      </c>
      <c r="G230" s="351">
        <f t="shared" si="199"/>
        <v>0</v>
      </c>
      <c r="H230" s="351">
        <f t="shared" si="199"/>
        <v>0</v>
      </c>
      <c r="I230" s="351">
        <f t="shared" si="199"/>
        <v>0</v>
      </c>
      <c r="J230" s="351">
        <f t="shared" si="199"/>
        <v>0</v>
      </c>
      <c r="K230" s="351">
        <f t="shared" si="199"/>
        <v>0</v>
      </c>
      <c r="L230" s="351">
        <f t="shared" si="199"/>
        <v>0</v>
      </c>
      <c r="M230" s="351">
        <f t="shared" si="199"/>
        <v>0</v>
      </c>
      <c r="N230" s="351">
        <f t="shared" si="199"/>
        <v>0</v>
      </c>
      <c r="O230" s="351">
        <f t="shared" si="199"/>
        <v>0</v>
      </c>
      <c r="P230" s="315">
        <f>P229+1</f>
        <v>2</v>
      </c>
      <c r="Q230" s="286">
        <f aca="true" t="shared" si="200" ref="Q230:W230">C260/100000*$O97</f>
        <v>0</v>
      </c>
      <c r="R230" s="286">
        <f t="shared" si="200"/>
        <v>0</v>
      </c>
      <c r="S230" s="286">
        <f t="shared" si="200"/>
        <v>0</v>
      </c>
      <c r="T230" s="286">
        <f t="shared" si="200"/>
        <v>0</v>
      </c>
      <c r="U230" s="286">
        <f t="shared" si="200"/>
        <v>0</v>
      </c>
      <c r="V230" s="286">
        <f t="shared" si="200"/>
        <v>0</v>
      </c>
      <c r="W230" s="286">
        <f t="shared" si="200"/>
        <v>0</v>
      </c>
      <c r="X230" s="286">
        <f>J260/100000*$O97</f>
        <v>0</v>
      </c>
      <c r="Y230" s="286">
        <f>K260/100000*$O97</f>
        <v>0</v>
      </c>
      <c r="Z230" s="286">
        <f>L260/100000*$O97</f>
        <v>0</v>
      </c>
      <c r="AA230" s="286">
        <f>M260/100000*$O97</f>
        <v>0</v>
      </c>
      <c r="AB230" s="286">
        <f>N260/100000*$O97</f>
        <v>0</v>
      </c>
      <c r="AC230" s="286">
        <f t="shared" si="198"/>
        <v>0</v>
      </c>
      <c r="AD230" s="152"/>
      <c r="AE230" s="152"/>
    </row>
    <row r="231" spans="1:31" ht="28.5" customHeight="1" thickBot="1">
      <c r="A231" s="569"/>
      <c r="B231" s="585"/>
      <c r="C231" s="575" t="s">
        <v>612</v>
      </c>
      <c r="D231" s="352"/>
      <c r="E231" s="353"/>
      <c r="F231" s="353"/>
      <c r="G231" s="353"/>
      <c r="H231" s="353"/>
      <c r="I231" s="353"/>
      <c r="J231" s="353"/>
      <c r="K231" s="353"/>
      <c r="L231" s="353"/>
      <c r="M231" s="353"/>
      <c r="N231" s="353"/>
      <c r="O231" s="354"/>
      <c r="P231" s="315">
        <f aca="true" t="shared" si="201" ref="P231:P245">P230+1</f>
        <v>3</v>
      </c>
      <c r="Q231" s="286">
        <f aca="true" t="shared" si="202" ref="Q231:W231">C261/100000*$O99</f>
        <v>0</v>
      </c>
      <c r="R231" s="286">
        <f t="shared" si="202"/>
        <v>0</v>
      </c>
      <c r="S231" s="286">
        <f t="shared" si="202"/>
        <v>0</v>
      </c>
      <c r="T231" s="286">
        <f t="shared" si="202"/>
        <v>0</v>
      </c>
      <c r="U231" s="286">
        <f t="shared" si="202"/>
        <v>0</v>
      </c>
      <c r="V231" s="286">
        <f t="shared" si="202"/>
        <v>0</v>
      </c>
      <c r="W231" s="286">
        <f t="shared" si="202"/>
        <v>0</v>
      </c>
      <c r="X231" s="286">
        <f>J261/100000*$O99</f>
        <v>0</v>
      </c>
      <c r="Y231" s="286">
        <f>K261/100000*$O99</f>
        <v>0</v>
      </c>
      <c r="Z231" s="286">
        <f>L261/100000*$O99</f>
        <v>0</v>
      </c>
      <c r="AA231" s="286">
        <f>M261/100000*$O99</f>
        <v>0</v>
      </c>
      <c r="AB231" s="286">
        <f>N261/100000*$O99</f>
        <v>0</v>
      </c>
      <c r="AC231" s="286">
        <f t="shared" si="198"/>
        <v>0</v>
      </c>
      <c r="AD231" s="152"/>
      <c r="AE231" s="152"/>
    </row>
    <row r="232" spans="1:31" ht="28.5" customHeight="1" thickTop="1">
      <c r="A232" s="533"/>
      <c r="B232" s="586"/>
      <c r="C232" s="573" t="s">
        <v>608</v>
      </c>
      <c r="D232" s="345">
        <f aca="true" t="shared" si="203" ref="D232:O232">R40</f>
        <v>0</v>
      </c>
      <c r="E232" s="346">
        <f t="shared" si="203"/>
        <v>0</v>
      </c>
      <c r="F232" s="346">
        <f t="shared" si="203"/>
        <v>0</v>
      </c>
      <c r="G232" s="346">
        <f t="shared" si="203"/>
        <v>0</v>
      </c>
      <c r="H232" s="346">
        <f t="shared" si="203"/>
        <v>0</v>
      </c>
      <c r="I232" s="346">
        <f t="shared" si="203"/>
        <v>0</v>
      </c>
      <c r="J232" s="346">
        <f t="shared" si="203"/>
        <v>0</v>
      </c>
      <c r="K232" s="346">
        <f t="shared" si="203"/>
        <v>0</v>
      </c>
      <c r="L232" s="346">
        <f t="shared" si="203"/>
        <v>0</v>
      </c>
      <c r="M232" s="346">
        <f t="shared" si="203"/>
        <v>0</v>
      </c>
      <c r="N232" s="346">
        <f t="shared" si="203"/>
        <v>0</v>
      </c>
      <c r="O232" s="346">
        <f t="shared" si="203"/>
        <v>0</v>
      </c>
      <c r="P232" s="315">
        <f t="shared" si="201"/>
        <v>4</v>
      </c>
      <c r="Q232" s="286">
        <f aca="true" t="shared" si="204" ref="Q232:W232">C262/100000*$O101</f>
        <v>0</v>
      </c>
      <c r="R232" s="286">
        <f t="shared" si="204"/>
        <v>0</v>
      </c>
      <c r="S232" s="286">
        <f t="shared" si="204"/>
        <v>0</v>
      </c>
      <c r="T232" s="286">
        <f t="shared" si="204"/>
        <v>0</v>
      </c>
      <c r="U232" s="286">
        <f t="shared" si="204"/>
        <v>0</v>
      </c>
      <c r="V232" s="286">
        <f t="shared" si="204"/>
        <v>0</v>
      </c>
      <c r="W232" s="286">
        <f t="shared" si="204"/>
        <v>0</v>
      </c>
      <c r="X232" s="286">
        <f>J262/100000*$O101</f>
        <v>0</v>
      </c>
      <c r="Y232" s="286">
        <f>K262/100000*$O101</f>
        <v>0</v>
      </c>
      <c r="Z232" s="286">
        <f>L262/100000*$O101</f>
        <v>0</v>
      </c>
      <c r="AA232" s="286">
        <f>M262/100000*$O101</f>
        <v>0</v>
      </c>
      <c r="AB232" s="286">
        <f>N262/100000*$O101</f>
        <v>0</v>
      </c>
      <c r="AC232" s="286">
        <f t="shared" si="198"/>
        <v>0</v>
      </c>
      <c r="AD232" s="152"/>
      <c r="AE232" s="152"/>
    </row>
    <row r="233" spans="1:31" ht="28.5" customHeight="1">
      <c r="A233" s="533">
        <v>15</v>
      </c>
      <c r="B233" s="584">
        <f>$B$56</f>
        <v>0</v>
      </c>
      <c r="C233" s="574" t="s">
        <v>609</v>
      </c>
      <c r="D233" s="348"/>
      <c r="E233" s="349"/>
      <c r="F233" s="349"/>
      <c r="G233" s="349"/>
      <c r="H233" s="349"/>
      <c r="I233" s="349"/>
      <c r="J233" s="349"/>
      <c r="K233" s="349"/>
      <c r="L233" s="349"/>
      <c r="M233" s="349"/>
      <c r="N233" s="349"/>
      <c r="O233" s="349"/>
      <c r="P233" s="315">
        <f t="shared" si="201"/>
        <v>5</v>
      </c>
      <c r="Q233" s="286">
        <f aca="true" t="shared" si="205" ref="Q233:W233">C263/100000*$O103</f>
        <v>0</v>
      </c>
      <c r="R233" s="286">
        <f t="shared" si="205"/>
        <v>0</v>
      </c>
      <c r="S233" s="286">
        <f t="shared" si="205"/>
        <v>0</v>
      </c>
      <c r="T233" s="286">
        <f t="shared" si="205"/>
        <v>0</v>
      </c>
      <c r="U233" s="286">
        <f t="shared" si="205"/>
        <v>0</v>
      </c>
      <c r="V233" s="286">
        <f t="shared" si="205"/>
        <v>0</v>
      </c>
      <c r="W233" s="286">
        <f t="shared" si="205"/>
        <v>0</v>
      </c>
      <c r="X233" s="286">
        <f>J263/100000*$O103</f>
        <v>0</v>
      </c>
      <c r="Y233" s="286">
        <f>K263/100000*$O103</f>
        <v>0</v>
      </c>
      <c r="Z233" s="286">
        <f>L263/100000*$O103</f>
        <v>0</v>
      </c>
      <c r="AA233" s="286">
        <f>M263/100000*$O103</f>
        <v>0</v>
      </c>
      <c r="AB233" s="286">
        <f>N263/100000*$O103</f>
        <v>0</v>
      </c>
      <c r="AC233" s="286">
        <f t="shared" si="198"/>
        <v>0</v>
      </c>
      <c r="AD233" s="152"/>
      <c r="AE233" s="152"/>
    </row>
    <row r="234" spans="1:31" ht="28.5" customHeight="1">
      <c r="A234" s="568"/>
      <c r="B234" s="584"/>
      <c r="C234" s="574" t="s">
        <v>610</v>
      </c>
      <c r="D234" s="350">
        <f aca="true" t="shared" si="206" ref="D234:O234">D$173*D233/100</f>
        <v>0</v>
      </c>
      <c r="E234" s="351">
        <f t="shared" si="206"/>
        <v>0</v>
      </c>
      <c r="F234" s="351">
        <f t="shared" si="206"/>
        <v>0</v>
      </c>
      <c r="G234" s="351">
        <f t="shared" si="206"/>
        <v>0</v>
      </c>
      <c r="H234" s="351">
        <f t="shared" si="206"/>
        <v>0</v>
      </c>
      <c r="I234" s="351">
        <f t="shared" si="206"/>
        <v>0</v>
      </c>
      <c r="J234" s="351">
        <f t="shared" si="206"/>
        <v>0</v>
      </c>
      <c r="K234" s="351">
        <f t="shared" si="206"/>
        <v>0</v>
      </c>
      <c r="L234" s="351">
        <f t="shared" si="206"/>
        <v>0</v>
      </c>
      <c r="M234" s="351">
        <f t="shared" si="206"/>
        <v>0</v>
      </c>
      <c r="N234" s="351">
        <f t="shared" si="206"/>
        <v>0</v>
      </c>
      <c r="O234" s="351">
        <f t="shared" si="206"/>
        <v>0</v>
      </c>
      <c r="P234" s="315">
        <f t="shared" si="201"/>
        <v>6</v>
      </c>
      <c r="Q234" s="286">
        <f aca="true" t="shared" si="207" ref="Q234:W234">C264/100000*$O105</f>
        <v>0</v>
      </c>
      <c r="R234" s="286">
        <f t="shared" si="207"/>
        <v>0</v>
      </c>
      <c r="S234" s="286">
        <f t="shared" si="207"/>
        <v>0</v>
      </c>
      <c r="T234" s="286">
        <f t="shared" si="207"/>
        <v>0</v>
      </c>
      <c r="U234" s="286">
        <f t="shared" si="207"/>
        <v>0</v>
      </c>
      <c r="V234" s="286">
        <f t="shared" si="207"/>
        <v>0</v>
      </c>
      <c r="W234" s="286">
        <f t="shared" si="207"/>
        <v>0</v>
      </c>
      <c r="X234" s="286">
        <f>J264/100000*$O105</f>
        <v>0</v>
      </c>
      <c r="Y234" s="286">
        <f>K264/100000*$O105</f>
        <v>0</v>
      </c>
      <c r="Z234" s="286">
        <f>L264/100000*$O105</f>
        <v>0</v>
      </c>
      <c r="AA234" s="286">
        <f>M264/100000*$O105</f>
        <v>0</v>
      </c>
      <c r="AB234" s="286">
        <f>N264/100000*$O105</f>
        <v>0</v>
      </c>
      <c r="AC234" s="286">
        <f t="shared" si="198"/>
        <v>0</v>
      </c>
      <c r="AD234" s="152"/>
      <c r="AE234" s="152"/>
    </row>
    <row r="235" spans="1:31" ht="28.5" customHeight="1" thickBot="1">
      <c r="A235" s="569"/>
      <c r="B235" s="585"/>
      <c r="C235" s="575" t="s">
        <v>612</v>
      </c>
      <c r="D235" s="352"/>
      <c r="E235" s="353"/>
      <c r="F235" s="353"/>
      <c r="G235" s="353"/>
      <c r="H235" s="353"/>
      <c r="I235" s="353"/>
      <c r="J235" s="353"/>
      <c r="K235" s="353"/>
      <c r="L235" s="353"/>
      <c r="M235" s="353"/>
      <c r="N235" s="353"/>
      <c r="O235" s="354"/>
      <c r="P235" s="315">
        <f t="shared" si="201"/>
        <v>7</v>
      </c>
      <c r="Q235" s="286">
        <f aca="true" t="shared" si="208" ref="Q235:W235">C265/100000*$O107</f>
        <v>0</v>
      </c>
      <c r="R235" s="286">
        <f t="shared" si="208"/>
        <v>0</v>
      </c>
      <c r="S235" s="286">
        <f t="shared" si="208"/>
        <v>0</v>
      </c>
      <c r="T235" s="286">
        <f t="shared" si="208"/>
        <v>0</v>
      </c>
      <c r="U235" s="286">
        <f t="shared" si="208"/>
        <v>0</v>
      </c>
      <c r="V235" s="286">
        <f t="shared" si="208"/>
        <v>0</v>
      </c>
      <c r="W235" s="286">
        <f t="shared" si="208"/>
        <v>0</v>
      </c>
      <c r="X235" s="286">
        <f>J265/100000*$O107</f>
        <v>0</v>
      </c>
      <c r="Y235" s="286">
        <f>K265/100000*$O107</f>
        <v>0</v>
      </c>
      <c r="Z235" s="286">
        <f>L265/100000*$O107</f>
        <v>0</v>
      </c>
      <c r="AA235" s="286">
        <f>M265/100000*$O107</f>
        <v>0</v>
      </c>
      <c r="AB235" s="286">
        <f>N265/100000*$O107</f>
        <v>0</v>
      </c>
      <c r="AC235" s="286">
        <f t="shared" si="198"/>
        <v>0</v>
      </c>
      <c r="AD235" s="152"/>
      <c r="AE235" s="152"/>
    </row>
    <row r="236" spans="1:31" ht="28.5" customHeight="1" thickTop="1">
      <c r="A236" s="533"/>
      <c r="B236" s="586"/>
      <c r="C236" s="573" t="s">
        <v>608</v>
      </c>
      <c r="D236" s="345">
        <f aca="true" t="shared" si="209" ref="D236:O236">R41</f>
        <v>0</v>
      </c>
      <c r="E236" s="346">
        <f t="shared" si="209"/>
        <v>0</v>
      </c>
      <c r="F236" s="346">
        <f t="shared" si="209"/>
        <v>0</v>
      </c>
      <c r="G236" s="346">
        <f t="shared" si="209"/>
        <v>0</v>
      </c>
      <c r="H236" s="346">
        <f t="shared" si="209"/>
        <v>0</v>
      </c>
      <c r="I236" s="346">
        <f t="shared" si="209"/>
        <v>0</v>
      </c>
      <c r="J236" s="346">
        <f t="shared" si="209"/>
        <v>0</v>
      </c>
      <c r="K236" s="346">
        <f t="shared" si="209"/>
        <v>0</v>
      </c>
      <c r="L236" s="346">
        <f t="shared" si="209"/>
        <v>0</v>
      </c>
      <c r="M236" s="346">
        <f t="shared" si="209"/>
        <v>0</v>
      </c>
      <c r="N236" s="346">
        <f t="shared" si="209"/>
        <v>0</v>
      </c>
      <c r="O236" s="346">
        <f t="shared" si="209"/>
        <v>0</v>
      </c>
      <c r="P236" s="315">
        <f t="shared" si="201"/>
        <v>8</v>
      </c>
      <c r="Q236" s="286">
        <f aca="true" t="shared" si="210" ref="Q236:W236">C266/100000*$O109</f>
        <v>0</v>
      </c>
      <c r="R236" s="286">
        <f t="shared" si="210"/>
        <v>0</v>
      </c>
      <c r="S236" s="286">
        <f t="shared" si="210"/>
        <v>0</v>
      </c>
      <c r="T236" s="286">
        <f t="shared" si="210"/>
        <v>0</v>
      </c>
      <c r="U236" s="286">
        <f t="shared" si="210"/>
        <v>0</v>
      </c>
      <c r="V236" s="286">
        <f t="shared" si="210"/>
        <v>0</v>
      </c>
      <c r="W236" s="286">
        <f t="shared" si="210"/>
        <v>0</v>
      </c>
      <c r="X236" s="286">
        <f>J266/100000*$O109</f>
        <v>0</v>
      </c>
      <c r="Y236" s="286">
        <f>K266/100000*$O109</f>
        <v>0</v>
      </c>
      <c r="Z236" s="286">
        <f>L266/100000*$O109</f>
        <v>0</v>
      </c>
      <c r="AA236" s="286">
        <f>M266/100000*$O109</f>
        <v>0</v>
      </c>
      <c r="AB236" s="286">
        <f>N266/100000*$O109</f>
        <v>0</v>
      </c>
      <c r="AC236" s="286">
        <f t="shared" si="198"/>
        <v>0</v>
      </c>
      <c r="AD236" s="152"/>
      <c r="AE236" s="152"/>
    </row>
    <row r="237" spans="1:31" ht="28.5" customHeight="1">
      <c r="A237" s="533">
        <v>16</v>
      </c>
      <c r="B237" s="584">
        <f>$B$57</f>
        <v>0</v>
      </c>
      <c r="C237" s="574" t="s">
        <v>609</v>
      </c>
      <c r="D237" s="355"/>
      <c r="E237" s="356"/>
      <c r="F237" s="356"/>
      <c r="G237" s="356"/>
      <c r="H237" s="356"/>
      <c r="I237" s="356"/>
      <c r="J237" s="356"/>
      <c r="K237" s="356"/>
      <c r="L237" s="356"/>
      <c r="M237" s="356"/>
      <c r="N237" s="357"/>
      <c r="O237" s="356"/>
      <c r="P237" s="315">
        <f t="shared" si="201"/>
        <v>9</v>
      </c>
      <c r="Q237" s="286">
        <f aca="true" t="shared" si="211" ref="Q237:W237">C267/100000*$O111</f>
        <v>0</v>
      </c>
      <c r="R237" s="286">
        <f t="shared" si="211"/>
        <v>0</v>
      </c>
      <c r="S237" s="286">
        <f t="shared" si="211"/>
        <v>0</v>
      </c>
      <c r="T237" s="286">
        <f t="shared" si="211"/>
        <v>0</v>
      </c>
      <c r="U237" s="286">
        <f t="shared" si="211"/>
        <v>0</v>
      </c>
      <c r="V237" s="286">
        <f t="shared" si="211"/>
        <v>0</v>
      </c>
      <c r="W237" s="286">
        <f t="shared" si="211"/>
        <v>0</v>
      </c>
      <c r="X237" s="286">
        <f>J267/100000*$O111</f>
        <v>0</v>
      </c>
      <c r="Y237" s="286">
        <f>K267/100000*$O111</f>
        <v>0</v>
      </c>
      <c r="Z237" s="286">
        <f>L267/100000*$O111</f>
        <v>0</v>
      </c>
      <c r="AA237" s="286">
        <f>M267/100000*$O111</f>
        <v>0</v>
      </c>
      <c r="AB237" s="286">
        <f>N267/100000*$O111</f>
        <v>0</v>
      </c>
      <c r="AC237" s="286">
        <f t="shared" si="198"/>
        <v>0</v>
      </c>
      <c r="AD237" s="152"/>
      <c r="AE237" s="152"/>
    </row>
    <row r="238" spans="1:31" ht="28.5" customHeight="1">
      <c r="A238" s="568"/>
      <c r="B238" s="584"/>
      <c r="C238" s="574" t="s">
        <v>610</v>
      </c>
      <c r="D238" s="350">
        <f aca="true" t="shared" si="212" ref="D238:O238">D$173*D237/100</f>
        <v>0</v>
      </c>
      <c r="E238" s="351">
        <f t="shared" si="212"/>
        <v>0</v>
      </c>
      <c r="F238" s="351">
        <f t="shared" si="212"/>
        <v>0</v>
      </c>
      <c r="G238" s="351">
        <f t="shared" si="212"/>
        <v>0</v>
      </c>
      <c r="H238" s="351">
        <f t="shared" si="212"/>
        <v>0</v>
      </c>
      <c r="I238" s="351">
        <f t="shared" si="212"/>
        <v>0</v>
      </c>
      <c r="J238" s="351">
        <f t="shared" si="212"/>
        <v>0</v>
      </c>
      <c r="K238" s="351">
        <f t="shared" si="212"/>
        <v>0</v>
      </c>
      <c r="L238" s="351">
        <f t="shared" si="212"/>
        <v>0</v>
      </c>
      <c r="M238" s="351">
        <f t="shared" si="212"/>
        <v>0</v>
      </c>
      <c r="N238" s="351">
        <f t="shared" si="212"/>
        <v>0</v>
      </c>
      <c r="O238" s="351">
        <f t="shared" si="212"/>
        <v>0</v>
      </c>
      <c r="P238" s="315">
        <f t="shared" si="201"/>
        <v>10</v>
      </c>
      <c r="Q238" s="286">
        <f aca="true" t="shared" si="213" ref="Q238:W238">C268/100000*$O113</f>
        <v>0</v>
      </c>
      <c r="R238" s="286">
        <f t="shared" si="213"/>
        <v>0</v>
      </c>
      <c r="S238" s="286">
        <f t="shared" si="213"/>
        <v>0</v>
      </c>
      <c r="T238" s="286">
        <f t="shared" si="213"/>
        <v>0</v>
      </c>
      <c r="U238" s="286">
        <f t="shared" si="213"/>
        <v>0</v>
      </c>
      <c r="V238" s="286">
        <f t="shared" si="213"/>
        <v>0</v>
      </c>
      <c r="W238" s="286">
        <f t="shared" si="213"/>
        <v>0</v>
      </c>
      <c r="X238" s="286">
        <f>J268/100000*$O113</f>
        <v>0</v>
      </c>
      <c r="Y238" s="286">
        <f>K268/100000*$O113</f>
        <v>0</v>
      </c>
      <c r="Z238" s="286">
        <f>L268/100000*$O113</f>
        <v>0</v>
      </c>
      <c r="AA238" s="286">
        <f>M268/100000*$O113</f>
        <v>0</v>
      </c>
      <c r="AB238" s="286">
        <f>N268/100000*$O113</f>
        <v>0</v>
      </c>
      <c r="AC238" s="286">
        <f t="shared" si="198"/>
        <v>0</v>
      </c>
      <c r="AD238" s="152"/>
      <c r="AE238" s="152"/>
    </row>
    <row r="239" spans="1:31" ht="28.5" customHeight="1" thickBot="1">
      <c r="A239" s="569"/>
      <c r="B239" s="585"/>
      <c r="C239" s="575" t="s">
        <v>612</v>
      </c>
      <c r="D239" s="352"/>
      <c r="E239" s="353"/>
      <c r="F239" s="353"/>
      <c r="G239" s="353"/>
      <c r="H239" s="353"/>
      <c r="I239" s="353"/>
      <c r="J239" s="353"/>
      <c r="K239" s="353"/>
      <c r="L239" s="353"/>
      <c r="M239" s="353"/>
      <c r="N239" s="353"/>
      <c r="O239" s="354"/>
      <c r="P239" s="315">
        <f t="shared" si="201"/>
        <v>11</v>
      </c>
      <c r="Q239" s="286">
        <f aca="true" t="shared" si="214" ref="Q239:W239">C269/100000*$O115</f>
        <v>0</v>
      </c>
      <c r="R239" s="286">
        <f t="shared" si="214"/>
        <v>0</v>
      </c>
      <c r="S239" s="286">
        <f t="shared" si="214"/>
        <v>0</v>
      </c>
      <c r="T239" s="286">
        <f t="shared" si="214"/>
        <v>0</v>
      </c>
      <c r="U239" s="286">
        <f t="shared" si="214"/>
        <v>0</v>
      </c>
      <c r="V239" s="286">
        <f t="shared" si="214"/>
        <v>0</v>
      </c>
      <c r="W239" s="286">
        <f t="shared" si="214"/>
        <v>0</v>
      </c>
      <c r="X239" s="286">
        <f>J269/100000*$O115</f>
        <v>0</v>
      </c>
      <c r="Y239" s="286">
        <f>K269/100000*$O115</f>
        <v>0</v>
      </c>
      <c r="Z239" s="286">
        <f>L269/100000*$O115</f>
        <v>0</v>
      </c>
      <c r="AA239" s="286">
        <f>M269/100000*$O115</f>
        <v>0</v>
      </c>
      <c r="AB239" s="286">
        <f>N269/100000*$O115</f>
        <v>0</v>
      </c>
      <c r="AC239" s="286">
        <f t="shared" si="198"/>
        <v>0</v>
      </c>
      <c r="AD239" s="152"/>
      <c r="AE239" s="152"/>
    </row>
    <row r="240" spans="1:31" ht="28.5" customHeight="1" thickTop="1">
      <c r="A240" s="533"/>
      <c r="B240" s="586"/>
      <c r="C240" s="573" t="s">
        <v>608</v>
      </c>
      <c r="D240" s="345">
        <f aca="true" t="shared" si="215" ref="D240:O240">R42</f>
        <v>0</v>
      </c>
      <c r="E240" s="346">
        <f t="shared" si="215"/>
        <v>0</v>
      </c>
      <c r="F240" s="346">
        <f t="shared" si="215"/>
        <v>0</v>
      </c>
      <c r="G240" s="346">
        <f t="shared" si="215"/>
        <v>0</v>
      </c>
      <c r="H240" s="346">
        <f t="shared" si="215"/>
        <v>0</v>
      </c>
      <c r="I240" s="346">
        <f t="shared" si="215"/>
        <v>0</v>
      </c>
      <c r="J240" s="346">
        <f t="shared" si="215"/>
        <v>0</v>
      </c>
      <c r="K240" s="346">
        <f t="shared" si="215"/>
        <v>0</v>
      </c>
      <c r="L240" s="346">
        <f t="shared" si="215"/>
        <v>0</v>
      </c>
      <c r="M240" s="346">
        <f t="shared" si="215"/>
        <v>0</v>
      </c>
      <c r="N240" s="346">
        <f t="shared" si="215"/>
        <v>0</v>
      </c>
      <c r="O240" s="346">
        <f t="shared" si="215"/>
        <v>0</v>
      </c>
      <c r="P240" s="315">
        <f t="shared" si="201"/>
        <v>12</v>
      </c>
      <c r="Q240" s="286">
        <f aca="true" t="shared" si="216" ref="Q240:W240">C270/100000*$O117</f>
        <v>0</v>
      </c>
      <c r="R240" s="286">
        <f t="shared" si="216"/>
        <v>0</v>
      </c>
      <c r="S240" s="286">
        <f t="shared" si="216"/>
        <v>0</v>
      </c>
      <c r="T240" s="286">
        <f t="shared" si="216"/>
        <v>0</v>
      </c>
      <c r="U240" s="286">
        <f t="shared" si="216"/>
        <v>0</v>
      </c>
      <c r="V240" s="286">
        <f t="shared" si="216"/>
        <v>0</v>
      </c>
      <c r="W240" s="286">
        <f t="shared" si="216"/>
        <v>0</v>
      </c>
      <c r="X240" s="286">
        <f>J270/100000*$O117</f>
        <v>0</v>
      </c>
      <c r="Y240" s="286">
        <f>K270/100000*$O117</f>
        <v>0</v>
      </c>
      <c r="Z240" s="286">
        <f>L270/100000*$O117</f>
        <v>0</v>
      </c>
      <c r="AA240" s="286">
        <f>M270/100000*$O117</f>
        <v>0</v>
      </c>
      <c r="AB240" s="286">
        <f>N270/100000*$O117</f>
        <v>0</v>
      </c>
      <c r="AC240" s="286">
        <f t="shared" si="198"/>
        <v>0</v>
      </c>
      <c r="AD240" s="152"/>
      <c r="AE240" s="152"/>
    </row>
    <row r="241" spans="1:31" ht="28.5" customHeight="1">
      <c r="A241" s="533">
        <v>17</v>
      </c>
      <c r="B241" s="584">
        <f>$B$58</f>
        <v>0</v>
      </c>
      <c r="C241" s="574" t="s">
        <v>609</v>
      </c>
      <c r="D241" s="358"/>
      <c r="E241" s="349"/>
      <c r="F241" s="349"/>
      <c r="G241" s="349"/>
      <c r="H241" s="349"/>
      <c r="I241" s="349"/>
      <c r="J241" s="349"/>
      <c r="K241" s="349"/>
      <c r="L241" s="349"/>
      <c r="M241" s="349"/>
      <c r="N241" s="359"/>
      <c r="O241" s="349"/>
      <c r="P241" s="315">
        <f t="shared" si="201"/>
        <v>13</v>
      </c>
      <c r="Q241" s="286">
        <f aca="true" t="shared" si="217" ref="Q241:W241">C271/100000*$O119</f>
        <v>0</v>
      </c>
      <c r="R241" s="286">
        <f t="shared" si="217"/>
        <v>0</v>
      </c>
      <c r="S241" s="286">
        <f t="shared" si="217"/>
        <v>0</v>
      </c>
      <c r="T241" s="286">
        <f t="shared" si="217"/>
        <v>0</v>
      </c>
      <c r="U241" s="286">
        <f t="shared" si="217"/>
        <v>0</v>
      </c>
      <c r="V241" s="286">
        <f t="shared" si="217"/>
        <v>0</v>
      </c>
      <c r="W241" s="286">
        <f t="shared" si="217"/>
        <v>0</v>
      </c>
      <c r="X241" s="286">
        <f>J271/100000*$O119</f>
        <v>0</v>
      </c>
      <c r="Y241" s="286">
        <f>K271/100000*$O119</f>
        <v>0</v>
      </c>
      <c r="Z241" s="286">
        <f>L271/100000*$O119</f>
        <v>0</v>
      </c>
      <c r="AA241" s="286">
        <f>M271/100000*$O119</f>
        <v>0</v>
      </c>
      <c r="AB241" s="286">
        <f>N271/100000*$O119</f>
        <v>0</v>
      </c>
      <c r="AC241" s="286">
        <f t="shared" si="198"/>
        <v>0</v>
      </c>
      <c r="AD241" s="152"/>
      <c r="AE241" s="152"/>
    </row>
    <row r="242" spans="1:31" ht="28.5" customHeight="1">
      <c r="A242" s="568"/>
      <c r="B242" s="584"/>
      <c r="C242" s="574" t="s">
        <v>610</v>
      </c>
      <c r="D242" s="350">
        <f aca="true" t="shared" si="218" ref="D242:O242">D$173*D241/100</f>
        <v>0</v>
      </c>
      <c r="E242" s="351">
        <f t="shared" si="218"/>
        <v>0</v>
      </c>
      <c r="F242" s="351">
        <f t="shared" si="218"/>
        <v>0</v>
      </c>
      <c r="G242" s="351">
        <f t="shared" si="218"/>
        <v>0</v>
      </c>
      <c r="H242" s="351">
        <f t="shared" si="218"/>
        <v>0</v>
      </c>
      <c r="I242" s="351">
        <f t="shared" si="218"/>
        <v>0</v>
      </c>
      <c r="J242" s="351">
        <f t="shared" si="218"/>
        <v>0</v>
      </c>
      <c r="K242" s="351">
        <f t="shared" si="218"/>
        <v>0</v>
      </c>
      <c r="L242" s="351">
        <f t="shared" si="218"/>
        <v>0</v>
      </c>
      <c r="M242" s="351">
        <f t="shared" si="218"/>
        <v>0</v>
      </c>
      <c r="N242" s="351">
        <f t="shared" si="218"/>
        <v>0</v>
      </c>
      <c r="O242" s="351">
        <f t="shared" si="218"/>
        <v>0</v>
      </c>
      <c r="P242" s="315">
        <f t="shared" si="201"/>
        <v>14</v>
      </c>
      <c r="Q242" s="286">
        <f aca="true" t="shared" si="219" ref="Q242:W242">C272/100000*$O121</f>
        <v>0</v>
      </c>
      <c r="R242" s="286">
        <f t="shared" si="219"/>
        <v>0</v>
      </c>
      <c r="S242" s="286">
        <f t="shared" si="219"/>
        <v>0</v>
      </c>
      <c r="T242" s="286">
        <f t="shared" si="219"/>
        <v>0</v>
      </c>
      <c r="U242" s="286">
        <f t="shared" si="219"/>
        <v>0</v>
      </c>
      <c r="V242" s="286">
        <f t="shared" si="219"/>
        <v>0</v>
      </c>
      <c r="W242" s="286">
        <f t="shared" si="219"/>
        <v>0</v>
      </c>
      <c r="X242" s="286">
        <f>J272/100000*$O121</f>
        <v>0</v>
      </c>
      <c r="Y242" s="286">
        <f>K272/100000*$O121</f>
        <v>0</v>
      </c>
      <c r="Z242" s="286">
        <f>L272/100000*$O121</f>
        <v>0</v>
      </c>
      <c r="AA242" s="286">
        <f>M272/100000*$O121</f>
        <v>0</v>
      </c>
      <c r="AB242" s="286">
        <f>N272/100000*$O121</f>
        <v>0</v>
      </c>
      <c r="AC242" s="286">
        <f t="shared" si="198"/>
        <v>0</v>
      </c>
      <c r="AD242" s="152"/>
      <c r="AE242" s="152"/>
    </row>
    <row r="243" spans="1:31" ht="28.5" customHeight="1" thickBot="1">
      <c r="A243" s="570"/>
      <c r="B243" s="585"/>
      <c r="C243" s="575" t="s">
        <v>612</v>
      </c>
      <c r="D243" s="352"/>
      <c r="E243" s="353"/>
      <c r="F243" s="353"/>
      <c r="G243" s="353"/>
      <c r="H243" s="353"/>
      <c r="I243" s="353"/>
      <c r="J243" s="353"/>
      <c r="K243" s="353"/>
      <c r="L243" s="353"/>
      <c r="M243" s="353"/>
      <c r="N243" s="353"/>
      <c r="O243" s="354"/>
      <c r="P243" s="315">
        <f t="shared" si="201"/>
        <v>15</v>
      </c>
      <c r="Q243" s="286">
        <f aca="true" t="shared" si="220" ref="Q243:W243">C273/100000*$O123</f>
        <v>0</v>
      </c>
      <c r="R243" s="286">
        <f t="shared" si="220"/>
        <v>0</v>
      </c>
      <c r="S243" s="286">
        <f t="shared" si="220"/>
        <v>0</v>
      </c>
      <c r="T243" s="286">
        <f t="shared" si="220"/>
        <v>0</v>
      </c>
      <c r="U243" s="286">
        <f t="shared" si="220"/>
        <v>0</v>
      </c>
      <c r="V243" s="286">
        <f t="shared" si="220"/>
        <v>0</v>
      </c>
      <c r="W243" s="286">
        <f t="shared" si="220"/>
        <v>0</v>
      </c>
      <c r="X243" s="286">
        <f>J273/100000*$O123</f>
        <v>0</v>
      </c>
      <c r="Y243" s="286">
        <f>K273/100000*$O123</f>
        <v>0</v>
      </c>
      <c r="Z243" s="286">
        <f>L273/100000*$O123</f>
        <v>0</v>
      </c>
      <c r="AA243" s="286">
        <f>M273/100000*$O123</f>
        <v>0</v>
      </c>
      <c r="AB243" s="286">
        <f>N273/100000*$O123</f>
        <v>0</v>
      </c>
      <c r="AC243" s="286">
        <f t="shared" si="198"/>
        <v>0</v>
      </c>
      <c r="AD243" s="152"/>
      <c r="AE243" s="152"/>
    </row>
    <row r="244" spans="1:31" ht="28.5" customHeight="1">
      <c r="A244" s="202" t="s">
        <v>829</v>
      </c>
      <c r="B244" s="164"/>
      <c r="C244" s="164"/>
      <c r="D244" s="164"/>
      <c r="E244" s="164"/>
      <c r="F244" s="164"/>
      <c r="G244" s="164"/>
      <c r="H244" s="164"/>
      <c r="I244" s="164"/>
      <c r="J244" s="164"/>
      <c r="K244" s="164"/>
      <c r="L244" s="164"/>
      <c r="M244" s="164"/>
      <c r="N244" s="164"/>
      <c r="O244" s="152"/>
      <c r="P244" s="315">
        <f t="shared" si="201"/>
        <v>16</v>
      </c>
      <c r="Q244" s="286">
        <f aca="true" t="shared" si="221" ref="Q244:W244">C274/100000*$O125</f>
        <v>0</v>
      </c>
      <c r="R244" s="286">
        <f t="shared" si="221"/>
        <v>0</v>
      </c>
      <c r="S244" s="286">
        <f t="shared" si="221"/>
        <v>0</v>
      </c>
      <c r="T244" s="286">
        <f t="shared" si="221"/>
        <v>0</v>
      </c>
      <c r="U244" s="286">
        <f t="shared" si="221"/>
        <v>0</v>
      </c>
      <c r="V244" s="286">
        <f t="shared" si="221"/>
        <v>0</v>
      </c>
      <c r="W244" s="286">
        <f t="shared" si="221"/>
        <v>0</v>
      </c>
      <c r="X244" s="286">
        <f>J274/100000*$O125</f>
        <v>0</v>
      </c>
      <c r="Y244" s="286">
        <f>K274/100000*$O125</f>
        <v>0</v>
      </c>
      <c r="Z244" s="286">
        <f>L274/100000*$O125</f>
        <v>0</v>
      </c>
      <c r="AA244" s="286">
        <f>M274/100000*$O125</f>
        <v>0</v>
      </c>
      <c r="AB244" s="286">
        <f>N274/100000*$O125</f>
        <v>0</v>
      </c>
      <c r="AC244" s="286">
        <f t="shared" si="198"/>
        <v>0</v>
      </c>
      <c r="AD244" s="152"/>
      <c r="AE244" s="152"/>
    </row>
    <row r="245" spans="1:31" ht="15.75">
      <c r="A245" s="164"/>
      <c r="B245" s="164"/>
      <c r="C245" s="164"/>
      <c r="D245" s="164"/>
      <c r="E245" s="164"/>
      <c r="F245" s="164"/>
      <c r="G245" s="164"/>
      <c r="H245" s="164"/>
      <c r="I245" s="164"/>
      <c r="J245" s="164"/>
      <c r="K245" s="164"/>
      <c r="L245" s="164"/>
      <c r="M245" s="164"/>
      <c r="N245" s="164"/>
      <c r="O245" s="152"/>
      <c r="P245" s="315">
        <f t="shared" si="201"/>
        <v>17</v>
      </c>
      <c r="Q245" s="303">
        <f aca="true" t="shared" si="222" ref="Q245:W245">C275/100000*$O127</f>
        <v>0</v>
      </c>
      <c r="R245" s="303">
        <f t="shared" si="222"/>
        <v>0</v>
      </c>
      <c r="S245" s="303">
        <f t="shared" si="222"/>
        <v>0</v>
      </c>
      <c r="T245" s="303">
        <f t="shared" si="222"/>
        <v>0</v>
      </c>
      <c r="U245" s="303">
        <f t="shared" si="222"/>
        <v>0</v>
      </c>
      <c r="V245" s="303">
        <f t="shared" si="222"/>
        <v>0</v>
      </c>
      <c r="W245" s="303">
        <f t="shared" si="222"/>
        <v>0</v>
      </c>
      <c r="X245" s="303">
        <f>J275/100000*$O127</f>
        <v>0</v>
      </c>
      <c r="Y245" s="303">
        <f>K275/100000*$O127</f>
        <v>0</v>
      </c>
      <c r="Z245" s="303">
        <f>L275/100000*$O127</f>
        <v>0</v>
      </c>
      <c r="AA245" s="303">
        <f>M275/100000*$O127</f>
        <v>0</v>
      </c>
      <c r="AB245" s="303">
        <f>N275/100000*$O127</f>
        <v>0</v>
      </c>
      <c r="AC245" s="303">
        <f t="shared" si="198"/>
        <v>0</v>
      </c>
      <c r="AD245" s="152"/>
      <c r="AE245" s="152"/>
    </row>
    <row r="246" spans="1:31" ht="15.75">
      <c r="A246" s="483" t="s">
        <v>621</v>
      </c>
      <c r="B246" s="483"/>
      <c r="C246" s="681"/>
      <c r="D246" s="681"/>
      <c r="E246" s="681"/>
      <c r="F246" s="164"/>
      <c r="G246" s="164"/>
      <c r="H246" s="164"/>
      <c r="I246" s="164"/>
      <c r="J246" s="164"/>
      <c r="K246" s="164"/>
      <c r="L246" s="164"/>
      <c r="M246" s="164"/>
      <c r="N246" s="164"/>
      <c r="O246" s="152"/>
      <c r="P246" s="152" t="s">
        <v>620</v>
      </c>
      <c r="Q246" s="286">
        <f>SUM(Q229:Q245)</f>
        <v>0</v>
      </c>
      <c r="R246" s="286">
        <f aca="true" t="shared" si="223" ref="R246:AC246">SUM(R229:R245)</f>
        <v>0</v>
      </c>
      <c r="S246" s="286">
        <f t="shared" si="223"/>
        <v>0</v>
      </c>
      <c r="T246" s="286">
        <f t="shared" si="223"/>
        <v>0</v>
      </c>
      <c r="U246" s="286">
        <f t="shared" si="223"/>
        <v>0</v>
      </c>
      <c r="V246" s="286">
        <f t="shared" si="223"/>
        <v>0</v>
      </c>
      <c r="W246" s="286">
        <f t="shared" si="223"/>
        <v>0</v>
      </c>
      <c r="X246" s="286">
        <f t="shared" si="223"/>
        <v>0</v>
      </c>
      <c r="Y246" s="286">
        <f t="shared" si="223"/>
        <v>0</v>
      </c>
      <c r="Z246" s="286">
        <f t="shared" si="223"/>
        <v>0</v>
      </c>
      <c r="AA246" s="286">
        <f t="shared" si="223"/>
        <v>0</v>
      </c>
      <c r="AB246" s="286">
        <f t="shared" si="223"/>
        <v>0</v>
      </c>
      <c r="AC246" s="286">
        <f t="shared" si="223"/>
        <v>0</v>
      </c>
      <c r="AD246" s="152"/>
      <c r="AE246" s="152"/>
    </row>
    <row r="247" spans="1:31" ht="15.75">
      <c r="A247" s="171" t="s">
        <v>827</v>
      </c>
      <c r="B247" s="483"/>
      <c r="C247" s="681"/>
      <c r="D247" s="681"/>
      <c r="E247" s="681"/>
      <c r="F247" s="164"/>
      <c r="G247" s="164"/>
      <c r="H247" s="164"/>
      <c r="I247" s="164"/>
      <c r="J247" s="164"/>
      <c r="K247" s="164"/>
      <c r="L247" s="164"/>
      <c r="M247" s="164"/>
      <c r="N247" s="164"/>
      <c r="O247" s="152"/>
      <c r="P247" s="152"/>
      <c r="Q247" s="152"/>
      <c r="R247" s="152"/>
      <c r="S247" s="152"/>
      <c r="T247" s="152"/>
      <c r="U247" s="152"/>
      <c r="V247" s="152"/>
      <c r="W247" s="152"/>
      <c r="X247" s="152"/>
      <c r="Y247" s="152"/>
      <c r="Z247" s="152"/>
      <c r="AA247" s="152"/>
      <c r="AB247" s="152"/>
      <c r="AC247" s="152"/>
      <c r="AD247" s="152"/>
      <c r="AE247" s="152"/>
    </row>
    <row r="248" spans="1:31" ht="15.75">
      <c r="A248" s="483" t="s">
        <v>623</v>
      </c>
      <c r="B248" s="483"/>
      <c r="C248" s="681"/>
      <c r="D248" s="191"/>
      <c r="E248" s="681"/>
      <c r="F248" s="164"/>
      <c r="G248" s="164"/>
      <c r="H248" s="164"/>
      <c r="I248" s="164"/>
      <c r="J248" s="164"/>
      <c r="K248" s="164"/>
      <c r="L248" s="164"/>
      <c r="M248" s="164"/>
      <c r="N248" s="164"/>
      <c r="O248" s="152"/>
      <c r="P248" s="152"/>
      <c r="Q248" s="152"/>
      <c r="R248" s="152"/>
      <c r="S248" s="152"/>
      <c r="T248" s="152"/>
      <c r="U248" s="152"/>
      <c r="V248" s="152"/>
      <c r="W248" s="152"/>
      <c r="X248" s="152"/>
      <c r="Y248" s="152"/>
      <c r="Z248" s="152"/>
      <c r="AA248" s="152"/>
      <c r="AB248" s="152"/>
      <c r="AC248" s="152"/>
      <c r="AD248" s="152"/>
      <c r="AE248" s="152"/>
    </row>
    <row r="249" spans="1:31" ht="15.75">
      <c r="A249" s="483" t="s">
        <v>624</v>
      </c>
      <c r="B249" s="483"/>
      <c r="C249" s="681"/>
      <c r="D249" s="191"/>
      <c r="E249" s="681"/>
      <c r="F249" s="164"/>
      <c r="G249" s="164"/>
      <c r="H249" s="164"/>
      <c r="I249" s="164"/>
      <c r="J249" s="164"/>
      <c r="K249" s="164"/>
      <c r="L249" s="164"/>
      <c r="M249" s="164"/>
      <c r="N249" s="164"/>
      <c r="O249" s="152"/>
      <c r="P249" s="152"/>
      <c r="Q249" s="152"/>
      <c r="R249" s="152"/>
      <c r="S249" s="152"/>
      <c r="T249" s="152"/>
      <c r="U249" s="152"/>
      <c r="V249" s="152"/>
      <c r="W249" s="152"/>
      <c r="X249" s="152"/>
      <c r="Y249" s="152"/>
      <c r="Z249" s="152"/>
      <c r="AA249" s="152"/>
      <c r="AB249" s="152"/>
      <c r="AC249" s="152"/>
      <c r="AD249" s="152"/>
      <c r="AE249" s="152"/>
    </row>
    <row r="250" spans="1:31" ht="15.75">
      <c r="A250" s="483"/>
      <c r="B250" s="483" t="s">
        <v>625</v>
      </c>
      <c r="C250" s="681"/>
      <c r="D250" s="681"/>
      <c r="E250" s="681"/>
      <c r="F250" s="164"/>
      <c r="G250" s="164"/>
      <c r="H250" s="164"/>
      <c r="I250" s="164"/>
      <c r="J250" s="164"/>
      <c r="K250" s="164"/>
      <c r="L250" s="164"/>
      <c r="M250" s="164"/>
      <c r="N250" s="164"/>
      <c r="O250" s="152"/>
      <c r="P250" s="152"/>
      <c r="Q250" s="152"/>
      <c r="R250" s="152"/>
      <c r="S250" s="152"/>
      <c r="T250" s="152"/>
      <c r="U250" s="152"/>
      <c r="V250" s="152"/>
      <c r="W250" s="152"/>
      <c r="X250" s="152"/>
      <c r="Y250" s="152"/>
      <c r="Z250" s="152"/>
      <c r="AA250" s="152"/>
      <c r="AB250" s="152"/>
      <c r="AC250" s="152"/>
      <c r="AD250" s="152"/>
      <c r="AE250" s="152"/>
    </row>
    <row r="251" spans="1:31" ht="28.5" customHeight="1">
      <c r="A251" s="483"/>
      <c r="B251" s="483"/>
      <c r="C251" s="681"/>
      <c r="D251" s="681"/>
      <c r="E251" s="681"/>
      <c r="F251" s="164"/>
      <c r="G251" s="164"/>
      <c r="H251" s="164"/>
      <c r="I251" s="164"/>
      <c r="J251" s="164"/>
      <c r="K251" s="164"/>
      <c r="L251" s="164"/>
      <c r="M251" s="164"/>
      <c r="N251" s="164"/>
      <c r="O251" s="152"/>
      <c r="P251" s="152"/>
      <c r="Q251" s="152"/>
      <c r="R251" s="152"/>
      <c r="S251" s="152"/>
      <c r="T251" s="152"/>
      <c r="U251" s="152"/>
      <c r="V251" s="152"/>
      <c r="W251" s="152"/>
      <c r="X251" s="152"/>
      <c r="Y251" s="152"/>
      <c r="Z251" s="152"/>
      <c r="AA251" s="152"/>
      <c r="AB251" s="152"/>
      <c r="AC251" s="152"/>
      <c r="AD251" s="152"/>
      <c r="AE251" s="152"/>
    </row>
    <row r="252" spans="1:31" ht="15.75">
      <c r="A252" s="483" t="s">
        <v>831</v>
      </c>
      <c r="B252" s="483"/>
      <c r="C252" s="681"/>
      <c r="D252" s="681"/>
      <c r="E252" s="681"/>
      <c r="F252" s="164"/>
      <c r="G252" s="164"/>
      <c r="H252" s="164"/>
      <c r="I252" s="164"/>
      <c r="J252" s="164"/>
      <c r="K252" s="164"/>
      <c r="L252" s="164"/>
      <c r="M252" s="164"/>
      <c r="N252" s="164"/>
      <c r="O252" s="152"/>
      <c r="P252" s="152"/>
      <c r="Q252" s="152"/>
      <c r="R252" s="152"/>
      <c r="S252" s="152"/>
      <c r="T252" s="152"/>
      <c r="U252" s="152"/>
      <c r="V252" s="152"/>
      <c r="W252" s="152"/>
      <c r="X252" s="152"/>
      <c r="Y252" s="152"/>
      <c r="Z252" s="152"/>
      <c r="AA252" s="152"/>
      <c r="AB252" s="152"/>
      <c r="AC252" s="152"/>
      <c r="AD252" s="152"/>
      <c r="AE252" s="152"/>
    </row>
    <row r="253" spans="1:31" ht="15.75">
      <c r="A253" s="483"/>
      <c r="B253" s="483" t="s">
        <v>626</v>
      </c>
      <c r="C253" s="681"/>
      <c r="D253" s="681"/>
      <c r="E253" s="681"/>
      <c r="F253" s="164"/>
      <c r="G253" s="164"/>
      <c r="H253" s="164"/>
      <c r="I253" s="164"/>
      <c r="J253" s="164"/>
      <c r="K253" s="164"/>
      <c r="L253" s="164"/>
      <c r="M253" s="164"/>
      <c r="N253" s="164"/>
      <c r="O253" s="152"/>
      <c r="P253" s="152"/>
      <c r="Q253" s="152"/>
      <c r="R253" s="152"/>
      <c r="S253" s="152"/>
      <c r="T253" s="152"/>
      <c r="U253" s="152"/>
      <c r="V253" s="152"/>
      <c r="W253" s="152"/>
      <c r="X253" s="152"/>
      <c r="Y253" s="152"/>
      <c r="Z253" s="152"/>
      <c r="AA253" s="152"/>
      <c r="AB253" s="152"/>
      <c r="AC253" s="152"/>
      <c r="AD253" s="152"/>
      <c r="AE253" s="152"/>
    </row>
    <row r="254" spans="1:31" ht="15.75">
      <c r="A254" s="483"/>
      <c r="B254" s="191" t="s">
        <v>627</v>
      </c>
      <c r="C254" s="681"/>
      <c r="D254" s="681"/>
      <c r="E254" s="681"/>
      <c r="F254" s="164"/>
      <c r="G254" s="164"/>
      <c r="H254" s="164"/>
      <c r="I254" s="164"/>
      <c r="J254" s="164"/>
      <c r="K254" s="164"/>
      <c r="L254" s="164"/>
      <c r="M254" s="164"/>
      <c r="N254" s="164"/>
      <c r="O254" s="152"/>
      <c r="P254" s="152"/>
      <c r="Q254" s="152"/>
      <c r="R254" s="152"/>
      <c r="S254" s="152"/>
      <c r="T254" s="152"/>
      <c r="U254" s="152"/>
      <c r="V254" s="152"/>
      <c r="W254" s="152"/>
      <c r="X254" s="152"/>
      <c r="Y254" s="152"/>
      <c r="Z254" s="152"/>
      <c r="AA254" s="152"/>
      <c r="AB254" s="152"/>
      <c r="AC254" s="152"/>
      <c r="AD254" s="152"/>
      <c r="AE254" s="152"/>
    </row>
    <row r="255" spans="1:31" ht="28.5" customHeight="1">
      <c r="A255" s="164"/>
      <c r="B255" s="164"/>
      <c r="C255" s="164"/>
      <c r="D255" s="164"/>
      <c r="E255" s="164"/>
      <c r="F255" s="164"/>
      <c r="G255" s="164"/>
      <c r="H255" s="164"/>
      <c r="I255" s="164"/>
      <c r="J255" s="164"/>
      <c r="K255" s="164"/>
      <c r="L255" s="164"/>
      <c r="M255" s="164"/>
      <c r="N255" s="164"/>
      <c r="O255" s="152"/>
      <c r="P255" s="152"/>
      <c r="Q255" s="152"/>
      <c r="R255" s="152"/>
      <c r="S255" s="152"/>
      <c r="T255" s="152"/>
      <c r="U255" s="152"/>
      <c r="V255" s="152"/>
      <c r="W255" s="152"/>
      <c r="X255" s="152"/>
      <c r="Y255" s="152"/>
      <c r="Z255" s="152"/>
      <c r="AA255" s="152"/>
      <c r="AB255" s="152"/>
      <c r="AC255" s="152"/>
      <c r="AD255" s="152"/>
      <c r="AE255" s="152"/>
    </row>
    <row r="256" spans="1:31" ht="28.5" customHeight="1">
      <c r="A256" s="316" t="s">
        <v>628</v>
      </c>
      <c r="B256" s="164"/>
      <c r="C256" s="164"/>
      <c r="D256" s="164"/>
      <c r="E256" s="164"/>
      <c r="F256" s="164"/>
      <c r="G256" s="164"/>
      <c r="H256" s="164"/>
      <c r="I256" s="164"/>
      <c r="J256" s="164"/>
      <c r="K256" s="164"/>
      <c r="L256" s="164"/>
      <c r="M256" s="164"/>
      <c r="N256" s="164"/>
      <c r="O256" s="152"/>
      <c r="P256" s="152"/>
      <c r="Q256" s="152"/>
      <c r="R256" s="152"/>
      <c r="S256" s="152"/>
      <c r="T256" s="152"/>
      <c r="U256" s="152"/>
      <c r="V256" s="152"/>
      <c r="W256" s="152"/>
      <c r="X256" s="152"/>
      <c r="Y256" s="152"/>
      <c r="Z256" s="152"/>
      <c r="AA256" s="152"/>
      <c r="AB256" s="152"/>
      <c r="AC256" s="152"/>
      <c r="AD256" s="152"/>
      <c r="AE256" s="152"/>
    </row>
    <row r="257" spans="1:31" ht="28.5" customHeight="1">
      <c r="A257" s="164"/>
      <c r="B257" s="164"/>
      <c r="C257" s="164"/>
      <c r="D257" s="164"/>
      <c r="E257" s="164"/>
      <c r="F257" s="186" t="s">
        <v>629</v>
      </c>
      <c r="G257" s="164"/>
      <c r="H257" s="164"/>
      <c r="I257" s="164"/>
      <c r="J257" s="164"/>
      <c r="K257" s="164"/>
      <c r="L257" s="164"/>
      <c r="M257" s="164"/>
      <c r="N257" s="164"/>
      <c r="O257" s="152"/>
      <c r="P257" s="152"/>
      <c r="Q257" s="152"/>
      <c r="R257" s="152"/>
      <c r="S257" s="152"/>
      <c r="T257" s="152"/>
      <c r="U257" s="152"/>
      <c r="V257" s="152"/>
      <c r="W257" s="152"/>
      <c r="X257" s="152"/>
      <c r="Y257" s="152"/>
      <c r="Z257" s="152"/>
      <c r="AA257" s="152"/>
      <c r="AB257" s="152"/>
      <c r="AC257" s="152"/>
      <c r="AD257" s="152"/>
      <c r="AE257" s="152"/>
    </row>
    <row r="258" spans="1:31" ht="28.5" customHeight="1" thickBot="1">
      <c r="A258" s="583"/>
      <c r="B258" s="317" t="s">
        <v>630</v>
      </c>
      <c r="C258" s="577">
        <f aca="true" t="shared" si="224" ref="C258:N258">D40</f>
        <v>0</v>
      </c>
      <c r="D258" s="577">
        <f t="shared" si="224"/>
        <v>0</v>
      </c>
      <c r="E258" s="577">
        <f t="shared" si="224"/>
        <v>0</v>
      </c>
      <c r="F258" s="577">
        <f t="shared" si="224"/>
        <v>0</v>
      </c>
      <c r="G258" s="577">
        <f t="shared" si="224"/>
        <v>0</v>
      </c>
      <c r="H258" s="577">
        <f t="shared" si="224"/>
        <v>0</v>
      </c>
      <c r="I258" s="577">
        <f t="shared" si="224"/>
        <v>0</v>
      </c>
      <c r="J258" s="577">
        <f t="shared" si="224"/>
        <v>0</v>
      </c>
      <c r="K258" s="577">
        <f t="shared" si="224"/>
        <v>0</v>
      </c>
      <c r="L258" s="577">
        <f t="shared" si="224"/>
        <v>0</v>
      </c>
      <c r="M258" s="577">
        <f t="shared" si="224"/>
        <v>0</v>
      </c>
      <c r="N258" s="578">
        <f t="shared" si="224"/>
        <v>0</v>
      </c>
      <c r="O258" s="152"/>
      <c r="P258" s="152"/>
      <c r="Q258" s="152"/>
      <c r="R258" s="152"/>
      <c r="S258" s="152"/>
      <c r="T258" s="152"/>
      <c r="U258" s="152"/>
      <c r="V258" s="152"/>
      <c r="W258" s="152"/>
      <c r="X258" s="152"/>
      <c r="Y258" s="152"/>
      <c r="Z258" s="152"/>
      <c r="AA258" s="152"/>
      <c r="AB258" s="152"/>
      <c r="AC258" s="152"/>
      <c r="AD258" s="152"/>
      <c r="AE258" s="152"/>
    </row>
    <row r="259" spans="1:31" ht="18">
      <c r="A259" s="597">
        <v>1</v>
      </c>
      <c r="B259" s="621" t="str">
        <f aca="true" t="shared" si="225" ref="B259:B275">B42</f>
        <v>Paddy Rice #1</v>
      </c>
      <c r="C259" s="508"/>
      <c r="D259" s="508"/>
      <c r="E259" s="508"/>
      <c r="F259" s="508"/>
      <c r="G259" s="508"/>
      <c r="H259" s="508"/>
      <c r="I259" s="508"/>
      <c r="J259" s="508"/>
      <c r="K259" s="508"/>
      <c r="L259" s="508"/>
      <c r="M259" s="508"/>
      <c r="N259" s="508"/>
      <c r="O259" s="152"/>
      <c r="P259" s="152"/>
      <c r="Q259" s="152"/>
      <c r="R259" s="152"/>
      <c r="S259" s="152"/>
      <c r="T259" s="152"/>
      <c r="U259" s="152"/>
      <c r="V259" s="152"/>
      <c r="W259" s="152"/>
      <c r="X259" s="152"/>
      <c r="Y259" s="152"/>
      <c r="Z259" s="152"/>
      <c r="AA259" s="152"/>
      <c r="AB259" s="152"/>
      <c r="AC259" s="152"/>
      <c r="AD259" s="152"/>
      <c r="AE259" s="152"/>
    </row>
    <row r="260" spans="1:31" ht="18">
      <c r="A260" s="537">
        <f>A259+1</f>
        <v>2</v>
      </c>
      <c r="B260" s="622" t="str">
        <f t="shared" si="225"/>
        <v>Paddy Rice #2</v>
      </c>
      <c r="C260" s="508"/>
      <c r="D260" s="508"/>
      <c r="E260" s="508"/>
      <c r="F260" s="508"/>
      <c r="G260" s="508"/>
      <c r="H260" s="508"/>
      <c r="I260" s="508"/>
      <c r="J260" s="508"/>
      <c r="K260" s="508"/>
      <c r="L260" s="508"/>
      <c r="M260" s="508"/>
      <c r="N260" s="508"/>
      <c r="O260" s="152"/>
      <c r="P260" s="152"/>
      <c r="Q260" s="152"/>
      <c r="R260" s="152"/>
      <c r="S260" s="152"/>
      <c r="T260" s="152"/>
      <c r="U260" s="152"/>
      <c r="V260" s="152"/>
      <c r="W260" s="152"/>
      <c r="X260" s="152"/>
      <c r="Y260" s="152"/>
      <c r="Z260" s="152"/>
      <c r="AA260" s="152"/>
      <c r="AB260" s="152"/>
      <c r="AC260" s="152"/>
      <c r="AD260" s="152"/>
      <c r="AE260" s="152"/>
    </row>
    <row r="261" spans="1:31" ht="18">
      <c r="A261" s="537">
        <f aca="true" t="shared" si="226" ref="A261:A275">A260+1</f>
        <v>3</v>
      </c>
      <c r="B261" s="622" t="str">
        <f t="shared" si="225"/>
        <v>Paddy Rice #3</v>
      </c>
      <c r="C261" s="508"/>
      <c r="D261" s="508"/>
      <c r="E261" s="508"/>
      <c r="F261" s="508"/>
      <c r="G261" s="508"/>
      <c r="H261" s="508"/>
      <c r="I261" s="508"/>
      <c r="J261" s="508"/>
      <c r="K261" s="508"/>
      <c r="L261" s="508"/>
      <c r="M261" s="508"/>
      <c r="N261" s="508"/>
      <c r="O261" s="152"/>
      <c r="P261" s="152"/>
      <c r="Q261" s="152"/>
      <c r="R261" s="152"/>
      <c r="S261" s="152"/>
      <c r="T261" s="152"/>
      <c r="U261" s="152"/>
      <c r="V261" s="152"/>
      <c r="W261" s="152"/>
      <c r="X261" s="152"/>
      <c r="Y261" s="152"/>
      <c r="Z261" s="152"/>
      <c r="AA261" s="152"/>
      <c r="AB261" s="152"/>
      <c r="AC261" s="152"/>
      <c r="AD261" s="152"/>
      <c r="AE261" s="152"/>
    </row>
    <row r="262" spans="1:31" ht="18">
      <c r="A262" s="537">
        <f t="shared" si="226"/>
        <v>4</v>
      </c>
      <c r="B262" s="622">
        <f t="shared" si="225"/>
        <v>0</v>
      </c>
      <c r="C262" s="508"/>
      <c r="D262" s="508"/>
      <c r="E262" s="508"/>
      <c r="F262" s="508"/>
      <c r="G262" s="508"/>
      <c r="H262" s="508"/>
      <c r="I262" s="508"/>
      <c r="J262" s="508"/>
      <c r="K262" s="508"/>
      <c r="L262" s="508"/>
      <c r="M262" s="508"/>
      <c r="N262" s="508"/>
      <c r="O262" s="152"/>
      <c r="P262" s="152"/>
      <c r="Q262" s="152"/>
      <c r="R262" s="152"/>
      <c r="S262" s="152"/>
      <c r="T262" s="152"/>
      <c r="U262" s="152"/>
      <c r="V262" s="152"/>
      <c r="W262" s="152"/>
      <c r="X262" s="152"/>
      <c r="Y262" s="152"/>
      <c r="Z262" s="152"/>
      <c r="AA262" s="152"/>
      <c r="AB262" s="152"/>
      <c r="AC262" s="152"/>
      <c r="AD262" s="152"/>
      <c r="AE262" s="152"/>
    </row>
    <row r="263" spans="1:31" ht="18">
      <c r="A263" s="537">
        <f t="shared" si="226"/>
        <v>5</v>
      </c>
      <c r="B263" s="622">
        <f t="shared" si="225"/>
        <v>0</v>
      </c>
      <c r="C263" s="508"/>
      <c r="D263" s="508"/>
      <c r="E263" s="508"/>
      <c r="F263" s="508"/>
      <c r="G263" s="508"/>
      <c r="H263" s="508"/>
      <c r="I263" s="508"/>
      <c r="J263" s="508"/>
      <c r="K263" s="508"/>
      <c r="L263" s="508"/>
      <c r="M263" s="508"/>
      <c r="N263" s="508"/>
      <c r="O263" s="152"/>
      <c r="P263" s="152"/>
      <c r="Q263" s="152"/>
      <c r="R263" s="152"/>
      <c r="S263" s="152"/>
      <c r="T263" s="152"/>
      <c r="U263" s="152"/>
      <c r="V263" s="152"/>
      <c r="W263" s="152"/>
      <c r="X263" s="152"/>
      <c r="Y263" s="152"/>
      <c r="Z263" s="152"/>
      <c r="AA263" s="152"/>
      <c r="AB263" s="152"/>
      <c r="AC263" s="152"/>
      <c r="AD263" s="152"/>
      <c r="AE263" s="152"/>
    </row>
    <row r="264" spans="1:31" ht="18">
      <c r="A264" s="537">
        <f t="shared" si="226"/>
        <v>6</v>
      </c>
      <c r="B264" s="622">
        <f t="shared" si="225"/>
        <v>0</v>
      </c>
      <c r="C264" s="508"/>
      <c r="D264" s="508"/>
      <c r="E264" s="508"/>
      <c r="F264" s="508"/>
      <c r="G264" s="508"/>
      <c r="H264" s="508"/>
      <c r="I264" s="508"/>
      <c r="J264" s="508"/>
      <c r="K264" s="508"/>
      <c r="L264" s="508"/>
      <c r="M264" s="508"/>
      <c r="N264" s="508"/>
      <c r="O264" s="152"/>
      <c r="P264" s="152"/>
      <c r="Q264" s="152"/>
      <c r="R264" s="152"/>
      <c r="S264" s="152"/>
      <c r="T264" s="152"/>
      <c r="U264" s="152"/>
      <c r="V264" s="152"/>
      <c r="W264" s="152"/>
      <c r="X264" s="152"/>
      <c r="Y264" s="152"/>
      <c r="Z264" s="152"/>
      <c r="AA264" s="152"/>
      <c r="AB264" s="152"/>
      <c r="AC264" s="152"/>
      <c r="AD264" s="152"/>
      <c r="AE264" s="152"/>
    </row>
    <row r="265" spans="1:31" ht="18">
      <c r="A265" s="537">
        <f t="shared" si="226"/>
        <v>7</v>
      </c>
      <c r="B265" s="622">
        <f t="shared" si="225"/>
        <v>0</v>
      </c>
      <c r="C265" s="508"/>
      <c r="D265" s="508"/>
      <c r="E265" s="508"/>
      <c r="F265" s="508"/>
      <c r="G265" s="508"/>
      <c r="H265" s="508"/>
      <c r="I265" s="508"/>
      <c r="J265" s="508"/>
      <c r="K265" s="508"/>
      <c r="L265" s="508"/>
      <c r="M265" s="508"/>
      <c r="N265" s="508"/>
      <c r="O265" s="152"/>
      <c r="P265" s="152"/>
      <c r="Q265" s="152"/>
      <c r="R265" s="152"/>
      <c r="S265" s="152"/>
      <c r="T265" s="152"/>
      <c r="U265" s="152"/>
      <c r="V265" s="152"/>
      <c r="W265" s="152"/>
      <c r="X265" s="152"/>
      <c r="Y265" s="152"/>
      <c r="Z265" s="152"/>
      <c r="AA265" s="152"/>
      <c r="AB265" s="152"/>
      <c r="AC265" s="152"/>
      <c r="AD265" s="152"/>
      <c r="AE265" s="152"/>
    </row>
    <row r="266" spans="1:31" ht="18">
      <c r="A266" s="537">
        <f t="shared" si="226"/>
        <v>8</v>
      </c>
      <c r="B266" s="622">
        <f t="shared" si="225"/>
        <v>0</v>
      </c>
      <c r="C266" s="508"/>
      <c r="D266" s="508"/>
      <c r="E266" s="508"/>
      <c r="F266" s="508"/>
      <c r="G266" s="508"/>
      <c r="H266" s="508"/>
      <c r="I266" s="508"/>
      <c r="J266" s="508"/>
      <c r="K266" s="508"/>
      <c r="L266" s="508"/>
      <c r="M266" s="508"/>
      <c r="N266" s="508"/>
      <c r="O266" s="152"/>
      <c r="P266" s="152"/>
      <c r="Q266" s="152"/>
      <c r="R266" s="152"/>
      <c r="S266" s="152"/>
      <c r="T266" s="152"/>
      <c r="U266" s="152"/>
      <c r="V266" s="152"/>
      <c r="W266" s="152"/>
      <c r="X266" s="152"/>
      <c r="Y266" s="152"/>
      <c r="Z266" s="152"/>
      <c r="AA266" s="152"/>
      <c r="AB266" s="152"/>
      <c r="AC266" s="152"/>
      <c r="AD266" s="152"/>
      <c r="AE266" s="152"/>
    </row>
    <row r="267" spans="1:31" ht="18">
      <c r="A267" s="537">
        <f t="shared" si="226"/>
        <v>9</v>
      </c>
      <c r="B267" s="622">
        <f t="shared" si="225"/>
        <v>0</v>
      </c>
      <c r="C267" s="508"/>
      <c r="D267" s="508"/>
      <c r="E267" s="508"/>
      <c r="F267" s="508"/>
      <c r="G267" s="508"/>
      <c r="H267" s="508"/>
      <c r="I267" s="508"/>
      <c r="J267" s="508"/>
      <c r="K267" s="508"/>
      <c r="L267" s="508"/>
      <c r="M267" s="508"/>
      <c r="N267" s="508"/>
      <c r="O267" s="152"/>
      <c r="P267" s="152"/>
      <c r="Q267" s="152"/>
      <c r="R267" s="152"/>
      <c r="S267" s="152"/>
      <c r="T267" s="152"/>
      <c r="U267" s="152"/>
      <c r="V267" s="152"/>
      <c r="W267" s="152"/>
      <c r="X267" s="152"/>
      <c r="Y267" s="152"/>
      <c r="Z267" s="152"/>
      <c r="AA267" s="152"/>
      <c r="AB267" s="152"/>
      <c r="AC267" s="152"/>
      <c r="AD267" s="152"/>
      <c r="AE267" s="152"/>
    </row>
    <row r="268" spans="1:31" ht="18">
      <c r="A268" s="537">
        <f t="shared" si="226"/>
        <v>10</v>
      </c>
      <c r="B268" s="622">
        <f t="shared" si="225"/>
        <v>0</v>
      </c>
      <c r="C268" s="508"/>
      <c r="D268" s="508"/>
      <c r="E268" s="508"/>
      <c r="F268" s="508"/>
      <c r="G268" s="508"/>
      <c r="H268" s="508"/>
      <c r="I268" s="508"/>
      <c r="J268" s="508"/>
      <c r="K268" s="508"/>
      <c r="L268" s="508"/>
      <c r="M268" s="508"/>
      <c r="N268" s="508"/>
      <c r="O268" s="152"/>
      <c r="P268" s="152"/>
      <c r="Q268" s="152"/>
      <c r="R268" s="152"/>
      <c r="S268" s="152"/>
      <c r="T268" s="152"/>
      <c r="U268" s="152"/>
      <c r="V268" s="152"/>
      <c r="W268" s="152"/>
      <c r="X268" s="152"/>
      <c r="Y268" s="152"/>
      <c r="Z268" s="152"/>
      <c r="AA268" s="152"/>
      <c r="AB268" s="152"/>
      <c r="AC268" s="152"/>
      <c r="AD268" s="152"/>
      <c r="AE268" s="152"/>
    </row>
    <row r="269" spans="1:31" ht="18">
      <c r="A269" s="537">
        <f t="shared" si="226"/>
        <v>11</v>
      </c>
      <c r="B269" s="622">
        <f t="shared" si="225"/>
        <v>0</v>
      </c>
      <c r="C269" s="508"/>
      <c r="D269" s="508"/>
      <c r="E269" s="508"/>
      <c r="F269" s="508"/>
      <c r="G269" s="508"/>
      <c r="H269" s="508"/>
      <c r="I269" s="508"/>
      <c r="J269" s="508"/>
      <c r="K269" s="508"/>
      <c r="L269" s="508"/>
      <c r="M269" s="508"/>
      <c r="N269" s="508"/>
      <c r="O269" s="152"/>
      <c r="P269" s="152"/>
      <c r="Q269" s="152"/>
      <c r="R269" s="152"/>
      <c r="S269" s="152"/>
      <c r="T269" s="152"/>
      <c r="U269" s="152"/>
      <c r="V269" s="152"/>
      <c r="W269" s="152"/>
      <c r="X269" s="152"/>
      <c r="Y269" s="152"/>
      <c r="Z269" s="152"/>
      <c r="AA269" s="152"/>
      <c r="AB269" s="152"/>
      <c r="AC269" s="152"/>
      <c r="AD269" s="152"/>
      <c r="AE269" s="152"/>
    </row>
    <row r="270" spans="1:31" ht="18">
      <c r="A270" s="537">
        <f t="shared" si="226"/>
        <v>12</v>
      </c>
      <c r="B270" s="622">
        <f t="shared" si="225"/>
        <v>0</v>
      </c>
      <c r="C270" s="508"/>
      <c r="D270" s="508"/>
      <c r="E270" s="508"/>
      <c r="F270" s="508"/>
      <c r="G270" s="508"/>
      <c r="H270" s="508"/>
      <c r="I270" s="508"/>
      <c r="J270" s="508"/>
      <c r="K270" s="508"/>
      <c r="L270" s="508"/>
      <c r="M270" s="508"/>
      <c r="N270" s="508"/>
      <c r="O270" s="152"/>
      <c r="P270" s="152"/>
      <c r="Q270" s="152"/>
      <c r="R270" s="152"/>
      <c r="S270" s="152"/>
      <c r="T270" s="152"/>
      <c r="U270" s="152"/>
      <c r="V270" s="152"/>
      <c r="W270" s="152"/>
      <c r="X270" s="152"/>
      <c r="Y270" s="152"/>
      <c r="Z270" s="152"/>
      <c r="AA270" s="152"/>
      <c r="AB270" s="152"/>
      <c r="AC270" s="152"/>
      <c r="AD270" s="152"/>
      <c r="AE270" s="152"/>
    </row>
    <row r="271" spans="1:31" ht="18">
      <c r="A271" s="537">
        <f t="shared" si="226"/>
        <v>13</v>
      </c>
      <c r="B271" s="622">
        <f t="shared" si="225"/>
        <v>0</v>
      </c>
      <c r="C271" s="508"/>
      <c r="D271" s="508"/>
      <c r="E271" s="508"/>
      <c r="F271" s="508"/>
      <c r="G271" s="508"/>
      <c r="H271" s="508"/>
      <c r="I271" s="508"/>
      <c r="J271" s="508"/>
      <c r="K271" s="508"/>
      <c r="L271" s="508"/>
      <c r="M271" s="508"/>
      <c r="N271" s="508"/>
      <c r="O271" s="152"/>
      <c r="P271" s="152"/>
      <c r="Q271" s="152"/>
      <c r="R271" s="152"/>
      <c r="S271" s="152"/>
      <c r="T271" s="152"/>
      <c r="U271" s="152"/>
      <c r="V271" s="152"/>
      <c r="W271" s="152"/>
      <c r="X271" s="152"/>
      <c r="Y271" s="152"/>
      <c r="Z271" s="152"/>
      <c r="AA271" s="152"/>
      <c r="AB271" s="152"/>
      <c r="AC271" s="152"/>
      <c r="AD271" s="152"/>
      <c r="AE271" s="152"/>
    </row>
    <row r="272" spans="1:31" ht="18">
      <c r="A272" s="537">
        <f t="shared" si="226"/>
        <v>14</v>
      </c>
      <c r="B272" s="622">
        <f t="shared" si="225"/>
        <v>0</v>
      </c>
      <c r="C272" s="508"/>
      <c r="D272" s="508"/>
      <c r="E272" s="508"/>
      <c r="F272" s="508"/>
      <c r="G272" s="508"/>
      <c r="H272" s="508"/>
      <c r="I272" s="508"/>
      <c r="J272" s="508"/>
      <c r="K272" s="508"/>
      <c r="L272" s="508"/>
      <c r="M272" s="508"/>
      <c r="N272" s="508"/>
      <c r="O272" s="152"/>
      <c r="P272" s="152"/>
      <c r="Q272" s="152"/>
      <c r="R272" s="152"/>
      <c r="S272" s="152"/>
      <c r="T272" s="152"/>
      <c r="U272" s="152"/>
      <c r="V272" s="152"/>
      <c r="W272" s="152"/>
      <c r="X272" s="152"/>
      <c r="Y272" s="152"/>
      <c r="Z272" s="152"/>
      <c r="AA272" s="152"/>
      <c r="AB272" s="152"/>
      <c r="AC272" s="152"/>
      <c r="AD272" s="152"/>
      <c r="AE272" s="152"/>
    </row>
    <row r="273" spans="1:31" ht="18">
      <c r="A273" s="537">
        <f t="shared" si="226"/>
        <v>15</v>
      </c>
      <c r="B273" s="622">
        <f t="shared" si="225"/>
        <v>0</v>
      </c>
      <c r="C273" s="508"/>
      <c r="D273" s="508"/>
      <c r="E273" s="508"/>
      <c r="F273" s="508"/>
      <c r="G273" s="508"/>
      <c r="H273" s="508"/>
      <c r="I273" s="508"/>
      <c r="J273" s="508"/>
      <c r="K273" s="508"/>
      <c r="L273" s="508"/>
      <c r="M273" s="508"/>
      <c r="N273" s="508"/>
      <c r="O273" s="152"/>
      <c r="P273" s="152"/>
      <c r="Q273" s="152"/>
      <c r="R273" s="152"/>
      <c r="S273" s="152"/>
      <c r="T273" s="152"/>
      <c r="U273" s="152"/>
      <c r="V273" s="152"/>
      <c r="W273" s="152"/>
      <c r="X273" s="152"/>
      <c r="Y273" s="152"/>
      <c r="Z273" s="152"/>
      <c r="AA273" s="152"/>
      <c r="AB273" s="152"/>
      <c r="AC273" s="152"/>
      <c r="AD273" s="152"/>
      <c r="AE273" s="152"/>
    </row>
    <row r="274" spans="1:31" ht="24.75" customHeight="1">
      <c r="A274" s="537">
        <f t="shared" si="226"/>
        <v>16</v>
      </c>
      <c r="B274" s="622">
        <f t="shared" si="225"/>
        <v>0</v>
      </c>
      <c r="C274" s="508"/>
      <c r="D274" s="508"/>
      <c r="E274" s="508"/>
      <c r="F274" s="508"/>
      <c r="G274" s="508"/>
      <c r="H274" s="508"/>
      <c r="I274" s="508"/>
      <c r="J274" s="508"/>
      <c r="K274" s="508"/>
      <c r="L274" s="508"/>
      <c r="M274" s="508"/>
      <c r="N274" s="508"/>
      <c r="O274" s="152"/>
      <c r="P274" s="152"/>
      <c r="Q274" s="152"/>
      <c r="R274" s="152"/>
      <c r="S274" s="152"/>
      <c r="T274" s="152"/>
      <c r="U274" s="152"/>
      <c r="V274" s="152"/>
      <c r="W274" s="152"/>
      <c r="X274" s="152"/>
      <c r="Y274" s="152"/>
      <c r="Z274" s="152"/>
      <c r="AA274" s="152"/>
      <c r="AB274" s="152"/>
      <c r="AC274" s="152"/>
      <c r="AD274" s="152"/>
      <c r="AE274" s="152"/>
    </row>
    <row r="275" spans="1:31" ht="24.75" customHeight="1">
      <c r="A275" s="537">
        <f t="shared" si="226"/>
        <v>17</v>
      </c>
      <c r="B275" s="622">
        <f t="shared" si="225"/>
        <v>0</v>
      </c>
      <c r="C275" s="508"/>
      <c r="D275" s="508"/>
      <c r="E275" s="508"/>
      <c r="F275" s="508"/>
      <c r="G275" s="508"/>
      <c r="H275" s="508"/>
      <c r="I275" s="508"/>
      <c r="J275" s="508"/>
      <c r="K275" s="508"/>
      <c r="L275" s="508"/>
      <c r="M275" s="508"/>
      <c r="N275" s="508"/>
      <c r="O275" s="152"/>
      <c r="P275" s="152"/>
      <c r="Q275" s="152"/>
      <c r="R275" s="152"/>
      <c r="S275" s="152"/>
      <c r="T275" s="152"/>
      <c r="U275" s="152"/>
      <c r="V275" s="152"/>
      <c r="W275" s="152"/>
      <c r="X275" s="152"/>
      <c r="Y275" s="152"/>
      <c r="Z275" s="152"/>
      <c r="AA275" s="152"/>
      <c r="AB275" s="152"/>
      <c r="AC275" s="152"/>
      <c r="AD275" s="152"/>
      <c r="AE275" s="152"/>
    </row>
    <row r="276" spans="1:31" ht="24.75" customHeight="1">
      <c r="A276" s="153"/>
      <c r="B276" s="167"/>
      <c r="C276" s="318"/>
      <c r="D276" s="318"/>
      <c r="E276" s="318"/>
      <c r="F276" s="318"/>
      <c r="G276" s="318"/>
      <c r="H276" s="318"/>
      <c r="I276" s="318"/>
      <c r="J276" s="318"/>
      <c r="K276" s="318"/>
      <c r="L276" s="318"/>
      <c r="M276" s="318"/>
      <c r="N276" s="318"/>
      <c r="O276" s="152"/>
      <c r="P276" s="152"/>
      <c r="Q276" s="152"/>
      <c r="R276" s="152"/>
      <c r="S276" s="152"/>
      <c r="T276" s="152"/>
      <c r="U276" s="152"/>
      <c r="V276" s="152"/>
      <c r="W276" s="152"/>
      <c r="X276" s="152"/>
      <c r="Y276" s="152"/>
      <c r="Z276" s="152"/>
      <c r="AA276" s="152"/>
      <c r="AB276" s="152"/>
      <c r="AC276" s="152"/>
      <c r="AD276" s="152"/>
      <c r="AE276" s="152"/>
    </row>
    <row r="277" spans="1:31" ht="24.75" customHeight="1">
      <c r="A277" s="206" t="s">
        <v>352</v>
      </c>
      <c r="B277" s="152"/>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row>
    <row r="278" spans="1:31" ht="24.75" customHeight="1">
      <c r="A278" s="319"/>
      <c r="B278" s="152"/>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row>
    <row r="279" spans="1:31" ht="24.75" customHeight="1">
      <c r="A279" s="607"/>
      <c r="B279" s="607"/>
      <c r="C279" s="607"/>
      <c r="D279" s="607"/>
      <c r="E279" s="607"/>
      <c r="F279" s="607"/>
      <c r="G279" s="607"/>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row>
    <row r="280" spans="1:31" ht="18.75">
      <c r="A280" s="607"/>
      <c r="B280" s="609" t="s">
        <v>1335</v>
      </c>
      <c r="C280" s="702"/>
      <c r="D280" s="607"/>
      <c r="E280" s="607"/>
      <c r="F280" s="607"/>
      <c r="G280" s="607"/>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row>
    <row r="281" spans="1:31" ht="94.5" thickBot="1">
      <c r="A281" s="623"/>
      <c r="B281" s="623" t="str">
        <f aca="true" t="shared" si="227" ref="B281:B298">B41</f>
        <v>Irrigated Crop Name</v>
      </c>
      <c r="C281" s="625" t="s">
        <v>631</v>
      </c>
      <c r="D281" s="624" t="s">
        <v>667</v>
      </c>
      <c r="E281" s="625" t="s">
        <v>632</v>
      </c>
      <c r="F281" s="626" t="s">
        <v>633</v>
      </c>
      <c r="G281" s="626" t="s">
        <v>634</v>
      </c>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row>
    <row r="282" spans="1:31" ht="24.75" customHeight="1" thickTop="1">
      <c r="A282" s="627">
        <f aca="true" t="shared" si="228" ref="A282:A298">A42</f>
        <v>1</v>
      </c>
      <c r="B282" s="627" t="str">
        <f t="shared" si="227"/>
        <v>Paddy Rice #1</v>
      </c>
      <c r="C282" s="628"/>
      <c r="D282" s="628"/>
      <c r="E282" s="629">
        <f>MAX(C95:N95)</f>
        <v>0</v>
      </c>
      <c r="F282" s="630">
        <f>E282*C282</f>
        <v>0</v>
      </c>
      <c r="G282" s="630">
        <f>F282*D282*C$280</f>
        <v>0</v>
      </c>
      <c r="H282" s="152"/>
      <c r="I282" s="152"/>
      <c r="J282" s="152"/>
      <c r="K282" s="152"/>
      <c r="L282" s="152"/>
      <c r="M282" s="152"/>
      <c r="N282" s="152"/>
      <c r="O282" s="152"/>
      <c r="P282" s="152"/>
      <c r="Q282" s="152"/>
      <c r="R282" s="152"/>
      <c r="S282" s="152"/>
      <c r="T282" s="152"/>
      <c r="U282" s="152"/>
      <c r="V282" s="152"/>
      <c r="W282" s="152"/>
      <c r="X282" s="152"/>
      <c r="Y282" s="152"/>
      <c r="Z282" s="152"/>
      <c r="AA282" s="152"/>
      <c r="AB282" s="152"/>
      <c r="AC282" s="152"/>
      <c r="AD282" s="152"/>
      <c r="AE282" s="152"/>
    </row>
    <row r="283" spans="1:31" ht="24.75" customHeight="1">
      <c r="A283" s="631">
        <f t="shared" si="228"/>
        <v>2</v>
      </c>
      <c r="B283" s="631" t="str">
        <f t="shared" si="227"/>
        <v>Paddy Rice #2</v>
      </c>
      <c r="C283" s="632"/>
      <c r="D283" s="632"/>
      <c r="E283" s="629">
        <f>MAX(C97:N97)</f>
        <v>0</v>
      </c>
      <c r="F283" s="633">
        <f aca="true" t="shared" si="229" ref="F283:F298">E283*C283</f>
        <v>0</v>
      </c>
      <c r="G283" s="633">
        <f aca="true" t="shared" si="230" ref="G283:G298">F283*D283*C$280</f>
        <v>0</v>
      </c>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row>
    <row r="284" spans="1:31" ht="24.75" customHeight="1">
      <c r="A284" s="631">
        <f t="shared" si="228"/>
        <v>3</v>
      </c>
      <c r="B284" s="631" t="str">
        <f t="shared" si="227"/>
        <v>Paddy Rice #3</v>
      </c>
      <c r="C284" s="632"/>
      <c r="D284" s="632"/>
      <c r="E284" s="629">
        <f>MAX(C99:N99)</f>
        <v>0</v>
      </c>
      <c r="F284" s="633">
        <f t="shared" si="229"/>
        <v>0</v>
      </c>
      <c r="G284" s="633">
        <f t="shared" si="230"/>
        <v>0</v>
      </c>
      <c r="H284" s="152"/>
      <c r="I284" s="152"/>
      <c r="J284" s="152"/>
      <c r="K284" s="152"/>
      <c r="L284" s="152"/>
      <c r="M284" s="152"/>
      <c r="N284" s="152"/>
      <c r="O284" s="152"/>
      <c r="P284" s="152"/>
      <c r="Q284" s="152"/>
      <c r="R284" s="152"/>
      <c r="S284" s="152"/>
      <c r="T284" s="152"/>
      <c r="U284" s="152"/>
      <c r="V284" s="152"/>
      <c r="W284" s="152"/>
      <c r="X284" s="152"/>
      <c r="Y284" s="152"/>
      <c r="Z284" s="152"/>
      <c r="AA284" s="152"/>
      <c r="AB284" s="152"/>
      <c r="AC284" s="152"/>
      <c r="AD284" s="152"/>
      <c r="AE284" s="152"/>
    </row>
    <row r="285" spans="1:31" ht="24.75" customHeight="1">
      <c r="A285" s="631">
        <f t="shared" si="228"/>
        <v>4</v>
      </c>
      <c r="B285" s="631">
        <f t="shared" si="227"/>
        <v>0</v>
      </c>
      <c r="C285" s="632"/>
      <c r="D285" s="632"/>
      <c r="E285" s="629">
        <f>MAX(C101:N101)</f>
        <v>0</v>
      </c>
      <c r="F285" s="633">
        <f t="shared" si="229"/>
        <v>0</v>
      </c>
      <c r="G285" s="633">
        <f t="shared" si="230"/>
        <v>0</v>
      </c>
      <c r="H285" s="152"/>
      <c r="I285" s="152"/>
      <c r="J285" s="152"/>
      <c r="K285" s="152"/>
      <c r="L285" s="152"/>
      <c r="M285" s="152"/>
      <c r="N285" s="152"/>
      <c r="O285" s="152"/>
      <c r="P285" s="152"/>
      <c r="Q285" s="152"/>
      <c r="R285" s="152"/>
      <c r="S285" s="152"/>
      <c r="T285" s="152"/>
      <c r="U285" s="152"/>
      <c r="V285" s="152"/>
      <c r="W285" s="152"/>
      <c r="X285" s="152"/>
      <c r="Y285" s="152"/>
      <c r="Z285" s="152"/>
      <c r="AA285" s="152"/>
      <c r="AB285" s="152"/>
      <c r="AC285" s="152"/>
      <c r="AD285" s="152"/>
      <c r="AE285" s="152"/>
    </row>
    <row r="286" spans="1:31" ht="24.75" customHeight="1">
      <c r="A286" s="631">
        <f t="shared" si="228"/>
        <v>5</v>
      </c>
      <c r="B286" s="631">
        <f t="shared" si="227"/>
        <v>0</v>
      </c>
      <c r="C286" s="632"/>
      <c r="D286" s="632"/>
      <c r="E286" s="629">
        <f>MAX(C103:N103)</f>
        <v>0</v>
      </c>
      <c r="F286" s="633">
        <f t="shared" si="229"/>
        <v>0</v>
      </c>
      <c r="G286" s="633">
        <f t="shared" si="230"/>
        <v>0</v>
      </c>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row>
    <row r="287" spans="1:31" ht="24.75" customHeight="1">
      <c r="A287" s="631">
        <f t="shared" si="228"/>
        <v>6</v>
      </c>
      <c r="B287" s="631">
        <f t="shared" si="227"/>
        <v>0</v>
      </c>
      <c r="C287" s="632"/>
      <c r="D287" s="632"/>
      <c r="E287" s="629">
        <f>MAX(C105:N105)</f>
        <v>0</v>
      </c>
      <c r="F287" s="633">
        <f t="shared" si="229"/>
        <v>0</v>
      </c>
      <c r="G287" s="633">
        <f t="shared" si="230"/>
        <v>0</v>
      </c>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row>
    <row r="288" spans="1:31" ht="24.75" customHeight="1">
      <c r="A288" s="631">
        <f t="shared" si="228"/>
        <v>7</v>
      </c>
      <c r="B288" s="631">
        <f t="shared" si="227"/>
        <v>0</v>
      </c>
      <c r="C288" s="632"/>
      <c r="D288" s="632"/>
      <c r="E288" s="629">
        <f>MAX(C107:N107)</f>
        <v>0</v>
      </c>
      <c r="F288" s="633">
        <f t="shared" si="229"/>
        <v>0</v>
      </c>
      <c r="G288" s="633">
        <f t="shared" si="230"/>
        <v>0</v>
      </c>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row>
    <row r="289" spans="1:31" ht="24.75" customHeight="1">
      <c r="A289" s="631">
        <f t="shared" si="228"/>
        <v>8</v>
      </c>
      <c r="B289" s="631">
        <f t="shared" si="227"/>
        <v>0</v>
      </c>
      <c r="C289" s="632"/>
      <c r="D289" s="632"/>
      <c r="E289" s="629">
        <f>MAX(C109:N109)</f>
        <v>0</v>
      </c>
      <c r="F289" s="633">
        <f t="shared" si="229"/>
        <v>0</v>
      </c>
      <c r="G289" s="633">
        <f t="shared" si="230"/>
        <v>0</v>
      </c>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row>
    <row r="290" spans="1:31" ht="24.75" customHeight="1">
      <c r="A290" s="631">
        <f t="shared" si="228"/>
        <v>9</v>
      </c>
      <c r="B290" s="631">
        <f t="shared" si="227"/>
        <v>0</v>
      </c>
      <c r="C290" s="632"/>
      <c r="D290" s="632"/>
      <c r="E290" s="629">
        <f>MAX(C111:N111)</f>
        <v>0</v>
      </c>
      <c r="F290" s="633">
        <f t="shared" si="229"/>
        <v>0</v>
      </c>
      <c r="G290" s="633">
        <f t="shared" si="230"/>
        <v>0</v>
      </c>
      <c r="H290" s="152"/>
      <c r="I290" s="152"/>
      <c r="J290" s="152"/>
      <c r="K290" s="152"/>
      <c r="L290" s="152"/>
      <c r="M290" s="152"/>
      <c r="N290" s="152"/>
      <c r="O290" s="152"/>
      <c r="P290" s="152"/>
      <c r="Q290" s="152"/>
      <c r="R290" s="152"/>
      <c r="S290" s="152"/>
      <c r="T290" s="152"/>
      <c r="U290" s="152"/>
      <c r="V290" s="152"/>
      <c r="W290" s="152"/>
      <c r="X290" s="152"/>
      <c r="Y290" s="152"/>
      <c r="Z290" s="152"/>
      <c r="AA290" s="152"/>
      <c r="AB290" s="152"/>
      <c r="AC290" s="152"/>
      <c r="AD290" s="152"/>
      <c r="AE290" s="152"/>
    </row>
    <row r="291" spans="1:31" ht="18.75">
      <c r="A291" s="631">
        <f t="shared" si="228"/>
        <v>10</v>
      </c>
      <c r="B291" s="631">
        <f t="shared" si="227"/>
        <v>0</v>
      </c>
      <c r="C291" s="632"/>
      <c r="D291" s="632"/>
      <c r="E291" s="629">
        <f>MAX(C113:N113)</f>
        <v>0</v>
      </c>
      <c r="F291" s="633">
        <f t="shared" si="229"/>
        <v>0</v>
      </c>
      <c r="G291" s="633">
        <f t="shared" si="230"/>
        <v>0</v>
      </c>
      <c r="H291" s="152"/>
      <c r="I291" s="152"/>
      <c r="J291" s="152"/>
      <c r="K291" s="152"/>
      <c r="L291" s="152"/>
      <c r="M291" s="152"/>
      <c r="N291" s="152"/>
      <c r="O291" s="152"/>
      <c r="P291" s="152"/>
      <c r="Q291" s="152"/>
      <c r="R291" s="152"/>
      <c r="S291" s="152"/>
      <c r="T291" s="152"/>
      <c r="U291" s="152"/>
      <c r="V291" s="152"/>
      <c r="W291" s="152"/>
      <c r="X291" s="152"/>
      <c r="Y291" s="152"/>
      <c r="Z291" s="152"/>
      <c r="AA291" s="152"/>
      <c r="AB291" s="152"/>
      <c r="AC291" s="152"/>
      <c r="AD291" s="152"/>
      <c r="AE291" s="152"/>
    </row>
    <row r="292" spans="1:31" ht="18.75">
      <c r="A292" s="631">
        <f t="shared" si="228"/>
        <v>11</v>
      </c>
      <c r="B292" s="631">
        <f t="shared" si="227"/>
        <v>0</v>
      </c>
      <c r="C292" s="632"/>
      <c r="D292" s="632"/>
      <c r="E292" s="629">
        <f>MAX(C115:N115)</f>
        <v>0</v>
      </c>
      <c r="F292" s="633">
        <f t="shared" si="229"/>
        <v>0</v>
      </c>
      <c r="G292" s="633">
        <f t="shared" si="230"/>
        <v>0</v>
      </c>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row>
    <row r="293" spans="1:31" ht="18.75">
      <c r="A293" s="631">
        <f t="shared" si="228"/>
        <v>12</v>
      </c>
      <c r="B293" s="631">
        <f t="shared" si="227"/>
        <v>0</v>
      </c>
      <c r="C293" s="632"/>
      <c r="D293" s="632"/>
      <c r="E293" s="629">
        <f>MAX(C117:N117)</f>
        <v>0</v>
      </c>
      <c r="F293" s="633">
        <f t="shared" si="229"/>
        <v>0</v>
      </c>
      <c r="G293" s="633">
        <f t="shared" si="230"/>
        <v>0</v>
      </c>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row>
    <row r="294" spans="1:31" ht="18.75">
      <c r="A294" s="631">
        <f t="shared" si="228"/>
        <v>13</v>
      </c>
      <c r="B294" s="631">
        <f t="shared" si="227"/>
        <v>0</v>
      </c>
      <c r="C294" s="632"/>
      <c r="D294" s="632"/>
      <c r="E294" s="629">
        <f>MAX(C119:N119)</f>
        <v>0</v>
      </c>
      <c r="F294" s="633">
        <f t="shared" si="229"/>
        <v>0</v>
      </c>
      <c r="G294" s="633">
        <f t="shared" si="230"/>
        <v>0</v>
      </c>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row>
    <row r="295" spans="1:31" ht="18.75">
      <c r="A295" s="631">
        <f t="shared" si="228"/>
        <v>14</v>
      </c>
      <c r="B295" s="631">
        <f t="shared" si="227"/>
        <v>0</v>
      </c>
      <c r="C295" s="632"/>
      <c r="D295" s="632"/>
      <c r="E295" s="629">
        <f>MAX(C121:N121)</f>
        <v>0</v>
      </c>
      <c r="F295" s="633">
        <f t="shared" si="229"/>
        <v>0</v>
      </c>
      <c r="G295" s="633">
        <f t="shared" si="230"/>
        <v>0</v>
      </c>
      <c r="H295" s="152"/>
      <c r="I295" s="152"/>
      <c r="J295" s="152"/>
      <c r="K295" s="152"/>
      <c r="L295" s="152"/>
      <c r="M295" s="152"/>
      <c r="N295" s="152"/>
      <c r="O295" s="152"/>
      <c r="P295" s="152"/>
      <c r="Q295" s="152"/>
      <c r="R295" s="152"/>
      <c r="S295" s="152"/>
      <c r="T295" s="152"/>
      <c r="U295" s="152"/>
      <c r="V295" s="152"/>
      <c r="W295" s="152"/>
      <c r="X295" s="152"/>
      <c r="Y295" s="152"/>
      <c r="Z295" s="152"/>
      <c r="AA295" s="152"/>
      <c r="AB295" s="152"/>
      <c r="AC295" s="152"/>
      <c r="AD295" s="152"/>
      <c r="AE295" s="152"/>
    </row>
    <row r="296" spans="1:31" ht="18.75">
      <c r="A296" s="631">
        <f t="shared" si="228"/>
        <v>15</v>
      </c>
      <c r="B296" s="631">
        <f t="shared" si="227"/>
        <v>0</v>
      </c>
      <c r="C296" s="632"/>
      <c r="D296" s="632"/>
      <c r="E296" s="629">
        <f>MAX(C123:N123)</f>
        <v>0</v>
      </c>
      <c r="F296" s="633">
        <f t="shared" si="229"/>
        <v>0</v>
      </c>
      <c r="G296" s="633">
        <f t="shared" si="230"/>
        <v>0</v>
      </c>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row>
    <row r="297" spans="1:31" ht="31.5" customHeight="1">
      <c r="A297" s="631">
        <f t="shared" si="228"/>
        <v>16</v>
      </c>
      <c r="B297" s="631">
        <f t="shared" si="227"/>
        <v>0</v>
      </c>
      <c r="C297" s="632"/>
      <c r="D297" s="632"/>
      <c r="E297" s="629">
        <f>MAX(C125:N125)</f>
        <v>0</v>
      </c>
      <c r="F297" s="633">
        <f t="shared" si="229"/>
        <v>0</v>
      </c>
      <c r="G297" s="633">
        <f t="shared" si="230"/>
        <v>0</v>
      </c>
      <c r="H297" s="152"/>
      <c r="I297" s="152"/>
      <c r="J297" s="152"/>
      <c r="K297" s="152"/>
      <c r="L297" s="152"/>
      <c r="M297" s="152"/>
      <c r="N297" s="152"/>
      <c r="O297" s="152"/>
      <c r="P297" s="152"/>
      <c r="Q297" s="152"/>
      <c r="R297" s="152"/>
      <c r="S297" s="152"/>
      <c r="T297" s="152"/>
      <c r="U297" s="152"/>
      <c r="V297" s="152"/>
      <c r="W297" s="152"/>
      <c r="X297" s="152"/>
      <c r="Y297" s="152"/>
      <c r="Z297" s="152"/>
      <c r="AA297" s="152"/>
      <c r="AB297" s="152"/>
      <c r="AC297" s="152"/>
      <c r="AD297" s="152"/>
      <c r="AE297" s="152"/>
    </row>
    <row r="298" spans="1:31" ht="31.5" customHeight="1">
      <c r="A298" s="631">
        <f t="shared" si="228"/>
        <v>17</v>
      </c>
      <c r="B298" s="631">
        <f t="shared" si="227"/>
        <v>0</v>
      </c>
      <c r="C298" s="632"/>
      <c r="D298" s="632"/>
      <c r="E298" s="629">
        <f>MAX(C127:N127)</f>
        <v>0</v>
      </c>
      <c r="F298" s="633">
        <f t="shared" si="229"/>
        <v>0</v>
      </c>
      <c r="G298" s="633">
        <f t="shared" si="230"/>
        <v>0</v>
      </c>
      <c r="H298" s="152"/>
      <c r="I298" s="152"/>
      <c r="J298" s="152"/>
      <c r="K298" s="152"/>
      <c r="L298" s="152"/>
      <c r="M298" s="152"/>
      <c r="N298" s="152"/>
      <c r="O298" s="152"/>
      <c r="P298" s="152"/>
      <c r="Q298" s="152"/>
      <c r="R298" s="152"/>
      <c r="S298" s="152"/>
      <c r="T298" s="152"/>
      <c r="U298" s="152"/>
      <c r="V298" s="152"/>
      <c r="W298" s="152"/>
      <c r="X298" s="152"/>
      <c r="Y298" s="152"/>
      <c r="Z298" s="152"/>
      <c r="AA298" s="152"/>
      <c r="AB298" s="152"/>
      <c r="AC298" s="152"/>
      <c r="AD298" s="152"/>
      <c r="AE298" s="152"/>
    </row>
    <row r="299" spans="1:31" ht="31.5" customHeight="1">
      <c r="A299" s="634"/>
      <c r="B299" s="634"/>
      <c r="C299" s="634"/>
      <c r="D299" s="634"/>
      <c r="E299" s="634"/>
      <c r="F299" s="635" t="s">
        <v>635</v>
      </c>
      <c r="G299" s="636">
        <f>SUM(G282:G298)</f>
        <v>0</v>
      </c>
      <c r="H299" s="152"/>
      <c r="I299" s="152"/>
      <c r="J299" s="152"/>
      <c r="K299" s="152"/>
      <c r="L299" s="152"/>
      <c r="M299" s="152"/>
      <c r="N299" s="152"/>
      <c r="O299" s="152"/>
      <c r="P299" s="152"/>
      <c r="Q299" s="152"/>
      <c r="R299" s="152"/>
      <c r="S299" s="152"/>
      <c r="T299" s="152"/>
      <c r="U299" s="152"/>
      <c r="V299" s="152"/>
      <c r="W299" s="152"/>
      <c r="X299" s="152"/>
      <c r="Y299" s="152"/>
      <c r="Z299" s="152"/>
      <c r="AA299" s="152"/>
      <c r="AB299" s="152"/>
      <c r="AC299" s="152"/>
      <c r="AD299" s="152"/>
      <c r="AE299" s="152"/>
    </row>
    <row r="300" spans="16:31" ht="31.5" customHeight="1">
      <c r="P300" s="152"/>
      <c r="Q300" s="152"/>
      <c r="R300" s="152"/>
      <c r="S300" s="152"/>
      <c r="T300" s="152"/>
      <c r="U300" s="152"/>
      <c r="V300" s="152"/>
      <c r="W300" s="152"/>
      <c r="X300" s="152"/>
      <c r="Y300" s="152"/>
      <c r="Z300" s="152"/>
      <c r="AA300" s="152"/>
      <c r="AB300" s="152"/>
      <c r="AC300" s="152"/>
      <c r="AD300" s="152"/>
      <c r="AE300" s="152"/>
    </row>
    <row r="301" spans="16:31" ht="31.5" customHeight="1">
      <c r="P301" s="152"/>
      <c r="Q301" s="152"/>
      <c r="R301" s="152"/>
      <c r="S301" s="152"/>
      <c r="T301" s="152"/>
      <c r="U301" s="152"/>
      <c r="V301" s="152"/>
      <c r="W301" s="152"/>
      <c r="X301" s="152"/>
      <c r="Y301" s="152"/>
      <c r="Z301" s="152"/>
      <c r="AA301" s="152"/>
      <c r="AB301" s="152"/>
      <c r="AC301" s="152"/>
      <c r="AD301" s="152"/>
      <c r="AE301" s="152"/>
    </row>
    <row r="302" spans="16:31" ht="31.5" customHeight="1">
      <c r="P302" s="152"/>
      <c r="Q302" s="152"/>
      <c r="R302" s="152"/>
      <c r="S302" s="152"/>
      <c r="T302" s="152"/>
      <c r="U302" s="152"/>
      <c r="V302" s="152"/>
      <c r="W302" s="152"/>
      <c r="X302" s="152"/>
      <c r="Y302" s="152"/>
      <c r="Z302" s="152"/>
      <c r="AA302" s="152"/>
      <c r="AB302" s="152"/>
      <c r="AC302" s="152"/>
      <c r="AD302" s="152"/>
      <c r="AE302" s="152"/>
    </row>
    <row r="303" spans="16:31" ht="31.5" customHeight="1">
      <c r="P303" s="152"/>
      <c r="Q303" s="152"/>
      <c r="R303" s="152"/>
      <c r="S303" s="152"/>
      <c r="T303" s="152"/>
      <c r="U303" s="152"/>
      <c r="V303" s="152"/>
      <c r="W303" s="152"/>
      <c r="X303" s="152"/>
      <c r="Y303" s="152"/>
      <c r="Z303" s="152"/>
      <c r="AA303" s="152"/>
      <c r="AB303" s="152"/>
      <c r="AC303" s="152"/>
      <c r="AD303" s="152"/>
      <c r="AE303" s="152"/>
    </row>
    <row r="304" spans="16:31" ht="31.5" customHeight="1">
      <c r="P304" s="152"/>
      <c r="Q304" s="152"/>
      <c r="R304" s="152"/>
      <c r="S304" s="152"/>
      <c r="T304" s="152"/>
      <c r="U304" s="152"/>
      <c r="V304" s="152"/>
      <c r="W304" s="152"/>
      <c r="X304" s="152"/>
      <c r="Y304" s="152"/>
      <c r="Z304" s="152"/>
      <c r="AA304" s="152"/>
      <c r="AB304" s="152"/>
      <c r="AC304" s="152"/>
      <c r="AD304" s="152"/>
      <c r="AE304" s="152"/>
    </row>
    <row r="305" spans="16:31" ht="31.5" customHeight="1">
      <c r="P305" s="152"/>
      <c r="Q305" s="152"/>
      <c r="R305" s="152"/>
      <c r="S305" s="152"/>
      <c r="T305" s="152"/>
      <c r="U305" s="152"/>
      <c r="V305" s="152"/>
      <c r="W305" s="152"/>
      <c r="X305" s="152"/>
      <c r="Y305" s="152"/>
      <c r="Z305" s="152"/>
      <c r="AA305" s="152"/>
      <c r="AB305" s="152"/>
      <c r="AC305" s="152"/>
      <c r="AD305" s="152"/>
      <c r="AE305" s="152"/>
    </row>
    <row r="306" spans="16:31" ht="31.5" customHeight="1">
      <c r="P306" s="152"/>
      <c r="Q306" s="152"/>
      <c r="R306" s="152"/>
      <c r="S306" s="152"/>
      <c r="T306" s="152"/>
      <c r="U306" s="152"/>
      <c r="V306" s="152"/>
      <c r="W306" s="152"/>
      <c r="X306" s="152"/>
      <c r="Y306" s="152"/>
      <c r="Z306" s="152"/>
      <c r="AA306" s="152"/>
      <c r="AB306" s="152"/>
      <c r="AC306" s="152"/>
      <c r="AD306" s="152"/>
      <c r="AE306" s="152"/>
    </row>
    <row r="307" spans="16:31" ht="31.5" customHeight="1">
      <c r="P307" s="152"/>
      <c r="Q307" s="152"/>
      <c r="R307" s="152"/>
      <c r="S307" s="152"/>
      <c r="T307" s="152"/>
      <c r="U307" s="152"/>
      <c r="V307" s="152"/>
      <c r="W307" s="152"/>
      <c r="X307" s="152"/>
      <c r="Y307" s="152"/>
      <c r="Z307" s="152"/>
      <c r="AA307" s="152"/>
      <c r="AB307" s="152"/>
      <c r="AC307" s="152"/>
      <c r="AD307" s="152"/>
      <c r="AE307" s="152"/>
    </row>
    <row r="308" spans="16:31" ht="31.5" customHeight="1">
      <c r="P308" s="152"/>
      <c r="Q308" s="152"/>
      <c r="R308" s="152"/>
      <c r="S308" s="152"/>
      <c r="T308" s="152"/>
      <c r="U308" s="152"/>
      <c r="V308" s="152"/>
      <c r="W308" s="152"/>
      <c r="X308" s="152"/>
      <c r="Y308" s="152"/>
      <c r="Z308" s="152"/>
      <c r="AA308" s="152"/>
      <c r="AB308" s="152"/>
      <c r="AC308" s="152"/>
      <c r="AD308" s="152"/>
      <c r="AE308" s="152"/>
    </row>
    <row r="309" spans="16:31" ht="31.5" customHeight="1">
      <c r="P309" s="152"/>
      <c r="Q309" s="152"/>
      <c r="R309" s="152"/>
      <c r="S309" s="152"/>
      <c r="T309" s="152"/>
      <c r="U309" s="152"/>
      <c r="V309" s="152"/>
      <c r="W309" s="152"/>
      <c r="X309" s="152"/>
      <c r="Y309" s="152"/>
      <c r="Z309" s="152"/>
      <c r="AA309" s="152"/>
      <c r="AB309" s="152"/>
      <c r="AC309" s="152"/>
      <c r="AD309" s="152"/>
      <c r="AE309" s="152"/>
    </row>
    <row r="310" spans="16:31" ht="31.5" customHeight="1">
      <c r="P310" s="152"/>
      <c r="Q310" s="152"/>
      <c r="R310" s="152"/>
      <c r="S310" s="152"/>
      <c r="T310" s="152"/>
      <c r="U310" s="152"/>
      <c r="V310" s="152"/>
      <c r="W310" s="152"/>
      <c r="X310" s="152"/>
      <c r="Y310" s="152"/>
      <c r="Z310" s="152"/>
      <c r="AA310" s="152"/>
      <c r="AB310" s="152"/>
      <c r="AC310" s="152"/>
      <c r="AD310" s="152"/>
      <c r="AE310" s="152"/>
    </row>
    <row r="311" spans="16:31" ht="31.5" customHeight="1">
      <c r="P311" s="152"/>
      <c r="Q311" s="152"/>
      <c r="R311" s="152"/>
      <c r="S311" s="152"/>
      <c r="T311" s="152"/>
      <c r="U311" s="152"/>
      <c r="V311" s="152"/>
      <c r="W311" s="152"/>
      <c r="X311" s="152"/>
      <c r="Y311" s="152"/>
      <c r="Z311" s="152"/>
      <c r="AA311" s="152"/>
      <c r="AB311" s="152"/>
      <c r="AC311" s="152"/>
      <c r="AD311" s="152"/>
      <c r="AE311" s="152"/>
    </row>
    <row r="312" spans="16:31" ht="31.5" customHeight="1">
      <c r="P312" s="152"/>
      <c r="Q312" s="152"/>
      <c r="R312" s="152"/>
      <c r="S312" s="152"/>
      <c r="T312" s="152"/>
      <c r="U312" s="152"/>
      <c r="V312" s="152"/>
      <c r="W312" s="152"/>
      <c r="X312" s="152"/>
      <c r="Y312" s="152"/>
      <c r="Z312" s="152"/>
      <c r="AA312" s="152"/>
      <c r="AB312" s="152"/>
      <c r="AC312" s="152"/>
      <c r="AD312" s="152"/>
      <c r="AE312" s="152"/>
    </row>
    <row r="313" spans="16:31" ht="31.5" customHeight="1">
      <c r="P313" s="152"/>
      <c r="Q313" s="152"/>
      <c r="R313" s="152"/>
      <c r="S313" s="152"/>
      <c r="T313" s="152"/>
      <c r="U313" s="152"/>
      <c r="V313" s="152"/>
      <c r="W313" s="152"/>
      <c r="X313" s="152"/>
      <c r="Y313" s="152"/>
      <c r="Z313" s="152"/>
      <c r="AA313" s="152"/>
      <c r="AB313" s="152"/>
      <c r="AC313" s="152"/>
      <c r="AD313" s="152"/>
      <c r="AE313" s="152"/>
    </row>
    <row r="314" spans="30:31" ht="27.75" customHeight="1">
      <c r="AD314" s="152"/>
      <c r="AE314" s="152"/>
    </row>
  </sheetData>
  <printOptions gridLines="1" headings="1"/>
  <pageMargins left="0.75" right="0.75" top="1" bottom="1" header="0.5" footer="0.5"/>
  <pageSetup fitToHeight="0" fitToWidth="1" horizontalDpi="600" verticalDpi="600" orientation="landscape" scale="40" r:id="rId1"/>
  <headerFooter alignWithMargins="0">
    <oddHeader>&amp;C&amp;F</oddHeader>
    <oddFooter>&amp;LFAO/WB/Cal Poly ITRC&amp;C&amp;A&amp;R&amp;P</oddFooter>
  </headerFooter>
  <rowBreaks count="7" manualBreakCount="7">
    <brk id="58" max="14" man="1"/>
    <brk id="87" max="14" man="1"/>
    <brk id="128" max="14" man="1"/>
    <brk id="162" max="14" man="1"/>
    <brk id="203" max="14" man="1"/>
    <brk id="243" max="14" man="1"/>
    <brk id="275" max="14" man="1"/>
  </rowBreaks>
</worksheet>
</file>

<file path=xl/worksheets/sheet10.xml><?xml version="1.0" encoding="utf-8"?>
<worksheet xmlns="http://schemas.openxmlformats.org/spreadsheetml/2006/main" xmlns:r="http://schemas.openxmlformats.org/officeDocument/2006/relationships">
  <sheetPr>
    <pageSetUpPr fitToPage="1"/>
  </sheetPr>
  <dimension ref="A1:I194"/>
  <sheetViews>
    <sheetView view="pageBreakPreview" zoomScale="75" zoomScaleNormal="75" zoomScaleSheetLayoutView="75" workbookViewId="0" topLeftCell="A1">
      <selection activeCell="H2" sqref="H2"/>
    </sheetView>
  </sheetViews>
  <sheetFormatPr defaultColWidth="9.140625" defaultRowHeight="12.75"/>
  <cols>
    <col min="1" max="1" width="7.421875" style="62" customWidth="1"/>
    <col min="2" max="2" width="22.7109375" style="61" customWidth="1"/>
    <col min="3" max="3" width="63.140625" style="61" customWidth="1"/>
    <col min="4" max="4" width="6.8515625" style="446" customWidth="1"/>
    <col min="5" max="5" width="5.7109375" style="446" customWidth="1"/>
    <col min="6" max="6" width="6.8515625" style="63" customWidth="1"/>
    <col min="7" max="7" width="8.7109375" style="73" customWidth="1"/>
    <col min="8" max="9" width="9.140625" style="62" customWidth="1"/>
  </cols>
  <sheetData>
    <row r="1" ht="5.25" customHeight="1">
      <c r="B1" s="62"/>
    </row>
    <row r="2" ht="12.75">
      <c r="B2" s="62" t="str">
        <f>'5. Project Office Questions'!A2</f>
        <v>Project Name:</v>
      </c>
    </row>
    <row r="3" spans="2:3" ht="12.75">
      <c r="B3" s="755">
        <f>'5. Project Office Questions'!B3</f>
        <v>0</v>
      </c>
      <c r="C3" s="755"/>
    </row>
    <row r="4" ht="12.75">
      <c r="B4" s="62" t="str">
        <f>'5. Project Office Questions'!A4</f>
        <v>Date: </v>
      </c>
    </row>
    <row r="5" spans="2:3" ht="12.75">
      <c r="B5" s="756">
        <f>'5. Project Office Questions'!B5</f>
        <v>0</v>
      </c>
      <c r="C5" s="756"/>
    </row>
    <row r="7" spans="1:5" ht="12.75">
      <c r="A7" s="757" t="s">
        <v>169</v>
      </c>
      <c r="B7" s="758"/>
      <c r="C7" s="758"/>
      <c r="D7" s="758"/>
      <c r="E7" s="758"/>
    </row>
    <row r="8" spans="1:5" ht="30" customHeight="1">
      <c r="A8" s="759" t="s">
        <v>168</v>
      </c>
      <c r="B8" s="754"/>
      <c r="C8" s="754"/>
      <c r="D8" s="754"/>
      <c r="E8" s="754"/>
    </row>
    <row r="9" spans="1:5" ht="17.25" customHeight="1">
      <c r="A9" s="754" t="s">
        <v>1168</v>
      </c>
      <c r="B9" s="754"/>
      <c r="C9" s="754"/>
      <c r="D9" s="754"/>
      <c r="E9" s="754"/>
    </row>
    <row r="10" spans="1:5" ht="14.25" customHeight="1">
      <c r="A10" s="754" t="s">
        <v>277</v>
      </c>
      <c r="B10" s="754"/>
      <c r="C10" s="754"/>
      <c r="D10" s="754"/>
      <c r="E10" s="754"/>
    </row>
    <row r="11" spans="1:5" ht="12.75">
      <c r="A11" s="754" t="s">
        <v>278</v>
      </c>
      <c r="B11" s="754"/>
      <c r="C11" s="754"/>
      <c r="D11" s="754"/>
      <c r="E11" s="754"/>
    </row>
    <row r="12" spans="1:5" ht="12.75">
      <c r="A12" s="760" t="s">
        <v>170</v>
      </c>
      <c r="B12" s="754"/>
      <c r="C12" s="754"/>
      <c r="D12" s="754"/>
      <c r="E12" s="754"/>
    </row>
    <row r="13" spans="1:5" ht="12.75">
      <c r="A13" s="760" t="s">
        <v>171</v>
      </c>
      <c r="B13" s="754"/>
      <c r="C13" s="754"/>
      <c r="D13" s="754"/>
      <c r="E13" s="754"/>
    </row>
    <row r="14" spans="1:5" ht="12.75">
      <c r="A14" s="760" t="s">
        <v>734</v>
      </c>
      <c r="B14" s="754"/>
      <c r="C14" s="754"/>
      <c r="D14" s="754"/>
      <c r="E14" s="754"/>
    </row>
    <row r="15" spans="1:5" ht="25.5" customHeight="1">
      <c r="A15" s="760" t="s">
        <v>733</v>
      </c>
      <c r="B15" s="758"/>
      <c r="C15" s="758"/>
      <c r="D15" s="758"/>
      <c r="E15" s="758"/>
    </row>
    <row r="16" spans="1:5" ht="12.75">
      <c r="A16" s="760" t="s">
        <v>732</v>
      </c>
      <c r="B16" s="754"/>
      <c r="C16" s="754"/>
      <c r="D16" s="754"/>
      <c r="E16" s="754"/>
    </row>
    <row r="17" spans="1:5" ht="12.75">
      <c r="A17" s="760" t="s">
        <v>362</v>
      </c>
      <c r="B17" s="760"/>
      <c r="C17" s="760"/>
      <c r="D17" s="760"/>
      <c r="E17" s="760"/>
    </row>
    <row r="18" spans="1:5" ht="12.75" customHeight="1" thickBot="1">
      <c r="A18" s="760" t="s">
        <v>363</v>
      </c>
      <c r="B18" s="760"/>
      <c r="C18" s="760"/>
      <c r="D18" s="760"/>
      <c r="E18" s="760"/>
    </row>
    <row r="19" spans="1:9" ht="105" thickBot="1" thickTop="1">
      <c r="A19" s="67" t="s">
        <v>172</v>
      </c>
      <c r="B19" s="68" t="s">
        <v>173</v>
      </c>
      <c r="C19" s="68" t="s">
        <v>174</v>
      </c>
      <c r="D19" s="447" t="s">
        <v>890</v>
      </c>
      <c r="E19" s="447" t="s">
        <v>175</v>
      </c>
      <c r="F19" s="69" t="s">
        <v>158</v>
      </c>
      <c r="G19" s="69" t="s">
        <v>177</v>
      </c>
      <c r="H19" s="61" t="s">
        <v>1277</v>
      </c>
      <c r="I19" s="61" t="s">
        <v>290</v>
      </c>
    </row>
    <row r="20" spans="1:9" ht="32.25" thickTop="1">
      <c r="A20" s="82"/>
      <c r="B20" s="83" t="s">
        <v>89</v>
      </c>
      <c r="C20" s="82"/>
      <c r="D20" s="448"/>
      <c r="E20" s="448"/>
      <c r="F20" s="84"/>
      <c r="G20" s="85"/>
      <c r="H20" s="61"/>
      <c r="I20" s="61"/>
    </row>
    <row r="21" spans="1:9" s="60" customFormat="1" ht="51.75">
      <c r="A21" s="72" t="s">
        <v>176</v>
      </c>
      <c r="B21" s="86" t="s">
        <v>1060</v>
      </c>
      <c r="C21" s="72"/>
      <c r="D21" s="106">
        <f>H21/I21</f>
        <v>0</v>
      </c>
      <c r="E21" s="399"/>
      <c r="F21" s="107" t="s">
        <v>176</v>
      </c>
      <c r="G21" s="108" t="s">
        <v>178</v>
      </c>
      <c r="H21" s="109">
        <f>SUM(H22:H25)</f>
        <v>0</v>
      </c>
      <c r="I21" s="654">
        <f>SUM(E22:E25)</f>
        <v>11</v>
      </c>
    </row>
    <row r="22" spans="1:9" s="60" customFormat="1" ht="12.75">
      <c r="A22" s="72" t="s">
        <v>159</v>
      </c>
      <c r="B22" s="72"/>
      <c r="C22" s="72" t="s">
        <v>1059</v>
      </c>
      <c r="D22" s="449">
        <f>'11. Final deliveries'!$C$86</f>
        <v>0</v>
      </c>
      <c r="E22" s="456">
        <v>1</v>
      </c>
      <c r="F22" s="107" t="s">
        <v>159</v>
      </c>
      <c r="G22" s="108"/>
      <c r="H22" s="109">
        <f>D22*E22</f>
        <v>0</v>
      </c>
      <c r="I22" s="109"/>
    </row>
    <row r="23" spans="1:9" s="60" customFormat="1" ht="12.75">
      <c r="A23" s="72" t="s">
        <v>1169</v>
      </c>
      <c r="B23" s="72"/>
      <c r="C23" s="72" t="s">
        <v>754</v>
      </c>
      <c r="D23" s="449">
        <f>'11. Final deliveries'!$C$92</f>
        <v>0</v>
      </c>
      <c r="E23" s="456">
        <v>2</v>
      </c>
      <c r="F23" s="107" t="s">
        <v>1169</v>
      </c>
      <c r="G23" s="108"/>
      <c r="H23" s="109">
        <f>D23*E23</f>
        <v>0</v>
      </c>
      <c r="I23" s="109"/>
    </row>
    <row r="24" spans="1:9" s="60" customFormat="1" ht="12.75">
      <c r="A24" s="72" t="s">
        <v>1170</v>
      </c>
      <c r="B24" s="72"/>
      <c r="C24" s="72" t="s">
        <v>760</v>
      </c>
      <c r="D24" s="449">
        <f>'11. Final deliveries'!$C$98</f>
        <v>0</v>
      </c>
      <c r="E24" s="456">
        <v>4</v>
      </c>
      <c r="F24" s="107" t="s">
        <v>1170</v>
      </c>
      <c r="G24" s="108"/>
      <c r="H24" s="109">
        <f>D24*E24</f>
        <v>0</v>
      </c>
      <c r="I24" s="109"/>
    </row>
    <row r="25" spans="1:9" s="60" customFormat="1" ht="12.75">
      <c r="A25" s="72" t="s">
        <v>1171</v>
      </c>
      <c r="B25" s="72"/>
      <c r="C25" s="72" t="s">
        <v>1058</v>
      </c>
      <c r="D25" s="449">
        <f>'11. Final deliveries'!$C$104</f>
        <v>0</v>
      </c>
      <c r="E25" s="456">
        <v>4</v>
      </c>
      <c r="F25" s="107" t="s">
        <v>1171</v>
      </c>
      <c r="G25" s="108"/>
      <c r="H25" s="110">
        <f>D25*E25</f>
        <v>0</v>
      </c>
      <c r="I25" s="110"/>
    </row>
    <row r="26" spans="1:9" s="60" customFormat="1" ht="51.75">
      <c r="A26" s="72" t="s">
        <v>1172</v>
      </c>
      <c r="B26" s="86" t="s">
        <v>1061</v>
      </c>
      <c r="C26" s="72"/>
      <c r="D26" s="106">
        <f>H26/I26</f>
        <v>0</v>
      </c>
      <c r="E26" s="456"/>
      <c r="F26" s="107" t="s">
        <v>394</v>
      </c>
      <c r="G26" s="108" t="s">
        <v>1177</v>
      </c>
      <c r="H26" s="109">
        <f>SUM(H27:H30)</f>
        <v>0</v>
      </c>
      <c r="I26" s="654">
        <f>SUM(E27:E30)</f>
        <v>11</v>
      </c>
    </row>
    <row r="27" spans="1:9" s="60" customFormat="1" ht="12.75">
      <c r="A27" s="72" t="s">
        <v>1173</v>
      </c>
      <c r="B27" s="72"/>
      <c r="C27" s="72" t="s">
        <v>1059</v>
      </c>
      <c r="D27" s="449">
        <f>'5. Project Office Questions'!$C$192</f>
        <v>0</v>
      </c>
      <c r="E27" s="456">
        <v>1</v>
      </c>
      <c r="F27" s="107" t="s">
        <v>395</v>
      </c>
      <c r="G27" s="108"/>
      <c r="H27" s="109">
        <f>D27*E27</f>
        <v>0</v>
      </c>
      <c r="I27" s="109"/>
    </row>
    <row r="28" spans="1:9" s="60" customFormat="1" ht="12.75">
      <c r="A28" s="72" t="s">
        <v>1174</v>
      </c>
      <c r="B28" s="72"/>
      <c r="C28" s="72" t="s">
        <v>754</v>
      </c>
      <c r="D28" s="449">
        <f>'5. Project Office Questions'!$C$198</f>
        <v>0</v>
      </c>
      <c r="E28" s="456">
        <v>2</v>
      </c>
      <c r="F28" s="107" t="s">
        <v>396</v>
      </c>
      <c r="G28" s="108"/>
      <c r="H28" s="109">
        <f>D28*E28</f>
        <v>0</v>
      </c>
      <c r="I28" s="109"/>
    </row>
    <row r="29" spans="1:9" s="60" customFormat="1" ht="12.75">
      <c r="A29" s="72" t="s">
        <v>1175</v>
      </c>
      <c r="B29" s="72"/>
      <c r="C29" s="72" t="s">
        <v>760</v>
      </c>
      <c r="D29" s="449">
        <f>'5. Project Office Questions'!$C$204</f>
        <v>0</v>
      </c>
      <c r="E29" s="456">
        <v>4</v>
      </c>
      <c r="F29" s="107" t="s">
        <v>397</v>
      </c>
      <c r="G29" s="108"/>
      <c r="H29" s="109">
        <f>D29*E29</f>
        <v>0</v>
      </c>
      <c r="I29" s="109"/>
    </row>
    <row r="30" spans="1:9" s="60" customFormat="1" ht="12.75">
      <c r="A30" s="72" t="s">
        <v>1176</v>
      </c>
      <c r="B30" s="72"/>
      <c r="C30" s="72" t="s">
        <v>1058</v>
      </c>
      <c r="D30" s="449">
        <f>'5. Project Office Questions'!$C$210</f>
        <v>0</v>
      </c>
      <c r="E30" s="456">
        <v>4</v>
      </c>
      <c r="F30" s="107" t="s">
        <v>398</v>
      </c>
      <c r="G30" s="108"/>
      <c r="H30" s="110">
        <f>D30*E30</f>
        <v>0</v>
      </c>
      <c r="I30" s="110"/>
    </row>
    <row r="31" spans="1:9" s="60" customFormat="1" ht="66" customHeight="1">
      <c r="A31" s="87" t="s">
        <v>377</v>
      </c>
      <c r="B31" s="86" t="s">
        <v>1180</v>
      </c>
      <c r="C31" s="72"/>
      <c r="D31" s="106">
        <f>H31/I31</f>
        <v>0</v>
      </c>
      <c r="E31" s="456"/>
      <c r="F31" s="107" t="s">
        <v>377</v>
      </c>
      <c r="G31" s="108" t="s">
        <v>178</v>
      </c>
      <c r="H31" s="109">
        <f>SUM(H32:H36)</f>
        <v>0</v>
      </c>
      <c r="I31" s="654">
        <f>SUM(E32:E36)</f>
        <v>17</v>
      </c>
    </row>
    <row r="32" spans="1:9" s="60" customFormat="1" ht="12.75">
      <c r="A32" s="87" t="s">
        <v>378</v>
      </c>
      <c r="B32" s="72"/>
      <c r="C32" s="72" t="s">
        <v>197</v>
      </c>
      <c r="D32" s="449">
        <f>'11. Final deliveries'!$C$10</f>
        <v>0</v>
      </c>
      <c r="E32" s="456">
        <v>1</v>
      </c>
      <c r="F32" s="107" t="s">
        <v>378</v>
      </c>
      <c r="G32" s="108"/>
      <c r="H32" s="109">
        <f>D32*E32</f>
        <v>0</v>
      </c>
      <c r="I32" s="109"/>
    </row>
    <row r="33" spans="1:9" s="60" customFormat="1" ht="12.75">
      <c r="A33" s="87" t="s">
        <v>379</v>
      </c>
      <c r="B33" s="72"/>
      <c r="C33" s="72" t="s">
        <v>1059</v>
      </c>
      <c r="D33" s="449">
        <f>'11. Final deliveries'!$C$16</f>
        <v>0</v>
      </c>
      <c r="E33" s="456">
        <v>4</v>
      </c>
      <c r="F33" s="107" t="s">
        <v>379</v>
      </c>
      <c r="G33" s="108"/>
      <c r="H33" s="109">
        <f>D33*E33</f>
        <v>0</v>
      </c>
      <c r="I33" s="109"/>
    </row>
    <row r="34" spans="1:9" s="60" customFormat="1" ht="12.75">
      <c r="A34" s="87" t="s">
        <v>380</v>
      </c>
      <c r="B34" s="72"/>
      <c r="C34" s="72" t="s">
        <v>754</v>
      </c>
      <c r="D34" s="450">
        <f>'11. Final deliveries'!$C$22</f>
        <v>0</v>
      </c>
      <c r="E34" s="456">
        <v>4</v>
      </c>
      <c r="F34" s="107" t="s">
        <v>380</v>
      </c>
      <c r="G34" s="108"/>
      <c r="H34" s="109">
        <f>D34*E34</f>
        <v>0</v>
      </c>
      <c r="I34" s="109"/>
    </row>
    <row r="35" spans="1:9" s="60" customFormat="1" ht="12.75">
      <c r="A35" s="87" t="s">
        <v>381</v>
      </c>
      <c r="B35" s="72"/>
      <c r="C35" s="72" t="s">
        <v>760</v>
      </c>
      <c r="D35" s="449">
        <f>'11. Final deliveries'!$C$28</f>
        <v>0</v>
      </c>
      <c r="E35" s="456">
        <v>4</v>
      </c>
      <c r="F35" s="107" t="s">
        <v>381</v>
      </c>
      <c r="G35" s="108"/>
      <c r="H35" s="109">
        <f>D35*E35</f>
        <v>0</v>
      </c>
      <c r="I35" s="109"/>
    </row>
    <row r="36" spans="1:9" s="60" customFormat="1" ht="12.75">
      <c r="A36" s="87" t="s">
        <v>382</v>
      </c>
      <c r="B36" s="72"/>
      <c r="C36" s="72" t="s">
        <v>1058</v>
      </c>
      <c r="D36" s="449">
        <f>'11. Final deliveries'!$C$34</f>
        <v>0</v>
      </c>
      <c r="E36" s="456">
        <v>4</v>
      </c>
      <c r="F36" s="107" t="s">
        <v>382</v>
      </c>
      <c r="G36" s="108"/>
      <c r="H36" s="110">
        <f>D36*E36</f>
        <v>0</v>
      </c>
      <c r="I36" s="110"/>
    </row>
    <row r="37" spans="1:9" s="60" customFormat="1" ht="66" customHeight="1">
      <c r="A37" s="72" t="s">
        <v>383</v>
      </c>
      <c r="B37" s="86" t="s">
        <v>376</v>
      </c>
      <c r="C37" s="72"/>
      <c r="D37" s="106">
        <f>H37/I37</f>
        <v>0</v>
      </c>
      <c r="E37" s="456"/>
      <c r="F37" s="107" t="s">
        <v>389</v>
      </c>
      <c r="G37" s="108" t="s">
        <v>1177</v>
      </c>
      <c r="H37" s="109">
        <f>SUM(H38:H42)</f>
        <v>0</v>
      </c>
      <c r="I37" s="654">
        <f>SUM(E38:E42)</f>
        <v>17</v>
      </c>
    </row>
    <row r="38" spans="1:9" s="60" customFormat="1" ht="12.75">
      <c r="A38" s="72" t="s">
        <v>384</v>
      </c>
      <c r="B38" s="72"/>
      <c r="C38" s="72" t="s">
        <v>197</v>
      </c>
      <c r="D38" s="449">
        <f>'5. Project Office Questions'!$C$160</f>
        <v>0</v>
      </c>
      <c r="E38" s="456">
        <v>1</v>
      </c>
      <c r="F38" s="107" t="s">
        <v>390</v>
      </c>
      <c r="G38" s="108"/>
      <c r="H38" s="109">
        <f aca="true" t="shared" si="0" ref="H38:H67">D38*E38</f>
        <v>0</v>
      </c>
      <c r="I38" s="109"/>
    </row>
    <row r="39" spans="1:9" s="60" customFormat="1" ht="12.75">
      <c r="A39" s="72" t="s">
        <v>385</v>
      </c>
      <c r="B39" s="72"/>
      <c r="C39" s="72" t="s">
        <v>1059</v>
      </c>
      <c r="D39" s="449">
        <f>'5. Project Office Questions'!$C$166</f>
        <v>0</v>
      </c>
      <c r="E39" s="456">
        <v>4</v>
      </c>
      <c r="F39" s="107" t="s">
        <v>391</v>
      </c>
      <c r="G39" s="108"/>
      <c r="H39" s="109">
        <f t="shared" si="0"/>
        <v>0</v>
      </c>
      <c r="I39" s="109"/>
    </row>
    <row r="40" spans="1:9" s="60" customFormat="1" ht="12.75">
      <c r="A40" s="72" t="s">
        <v>386</v>
      </c>
      <c r="B40" s="72"/>
      <c r="C40" s="72" t="s">
        <v>754</v>
      </c>
      <c r="D40" s="449">
        <f>'5. Project Office Questions'!$C$172</f>
        <v>0</v>
      </c>
      <c r="E40" s="456">
        <v>4</v>
      </c>
      <c r="F40" s="107" t="s">
        <v>392</v>
      </c>
      <c r="G40" s="108"/>
      <c r="H40" s="109">
        <f t="shared" si="0"/>
        <v>0</v>
      </c>
      <c r="I40" s="109"/>
    </row>
    <row r="41" spans="1:9" s="60" customFormat="1" ht="12.75">
      <c r="A41" s="72" t="s">
        <v>387</v>
      </c>
      <c r="B41" s="72"/>
      <c r="C41" s="72" t="s">
        <v>760</v>
      </c>
      <c r="D41" s="449">
        <f>'5. Project Office Questions'!$C$178</f>
        <v>0</v>
      </c>
      <c r="E41" s="456">
        <v>4</v>
      </c>
      <c r="F41" s="107" t="s">
        <v>393</v>
      </c>
      <c r="G41" s="108"/>
      <c r="H41" s="109">
        <f t="shared" si="0"/>
        <v>0</v>
      </c>
      <c r="I41" s="109"/>
    </row>
    <row r="42" spans="1:9" s="60" customFormat="1" ht="12.75">
      <c r="A42" s="72" t="s">
        <v>388</v>
      </c>
      <c r="B42" s="72"/>
      <c r="C42" s="72" t="s">
        <v>1058</v>
      </c>
      <c r="D42" s="449">
        <f>'5. Project Office Questions'!$C$184</f>
        <v>0</v>
      </c>
      <c r="E42" s="456">
        <v>4</v>
      </c>
      <c r="F42" s="107" t="s">
        <v>1278</v>
      </c>
      <c r="G42" s="108"/>
      <c r="H42" s="110">
        <f t="shared" si="0"/>
        <v>0</v>
      </c>
      <c r="I42" s="110"/>
    </row>
    <row r="43" spans="1:9" s="60" customFormat="1" ht="51.75">
      <c r="A43" s="72" t="s">
        <v>394</v>
      </c>
      <c r="B43" s="86" t="s">
        <v>1294</v>
      </c>
      <c r="C43" s="72"/>
      <c r="D43" s="106">
        <f>H43/I43</f>
        <v>0</v>
      </c>
      <c r="E43" s="456"/>
      <c r="F43" s="107" t="s">
        <v>383</v>
      </c>
      <c r="G43" s="108" t="s">
        <v>586</v>
      </c>
      <c r="H43" s="109">
        <f>SUM(H44:H47)</f>
        <v>0</v>
      </c>
      <c r="I43" s="654">
        <f>SUM(E44:E47)</f>
        <v>4.5</v>
      </c>
    </row>
    <row r="44" spans="1:9" s="60" customFormat="1" ht="12.75">
      <c r="A44" s="72" t="s">
        <v>395</v>
      </c>
      <c r="B44" s="72"/>
      <c r="C44" s="72" t="s">
        <v>754</v>
      </c>
      <c r="D44" s="449">
        <f>'8. Main Canal'!$C$236</f>
        <v>0</v>
      </c>
      <c r="E44" s="456">
        <v>1</v>
      </c>
      <c r="F44" s="107" t="s">
        <v>384</v>
      </c>
      <c r="G44" s="108"/>
      <c r="H44" s="109">
        <f t="shared" si="0"/>
        <v>0</v>
      </c>
      <c r="I44" s="109"/>
    </row>
    <row r="45" spans="1:9" s="60" customFormat="1" ht="12.75">
      <c r="A45" s="72" t="s">
        <v>396</v>
      </c>
      <c r="B45" s="72"/>
      <c r="C45" s="72" t="s">
        <v>760</v>
      </c>
      <c r="D45" s="449">
        <f>'8. Main Canal'!$C$242</f>
        <v>0</v>
      </c>
      <c r="E45" s="456">
        <v>1</v>
      </c>
      <c r="F45" s="107" t="s">
        <v>385</v>
      </c>
      <c r="G45" s="108"/>
      <c r="H45" s="109">
        <f t="shared" si="0"/>
        <v>0</v>
      </c>
      <c r="I45" s="109"/>
    </row>
    <row r="46" spans="1:9" s="60" customFormat="1" ht="12.75">
      <c r="A46" s="72" t="s">
        <v>397</v>
      </c>
      <c r="B46" s="72"/>
      <c r="C46" s="72" t="s">
        <v>399</v>
      </c>
      <c r="D46" s="449">
        <f>'8. Main Canal'!$C$248</f>
        <v>0</v>
      </c>
      <c r="E46" s="456">
        <v>1</v>
      </c>
      <c r="F46" s="107" t="s">
        <v>386</v>
      </c>
      <c r="G46" s="108"/>
      <c r="H46" s="109">
        <f t="shared" si="0"/>
        <v>0</v>
      </c>
      <c r="I46" s="109"/>
    </row>
    <row r="47" spans="1:9" s="60" customFormat="1" ht="12.75">
      <c r="A47" s="72" t="s">
        <v>398</v>
      </c>
      <c r="B47" s="72"/>
      <c r="C47" s="72" t="s">
        <v>400</v>
      </c>
      <c r="D47" s="449">
        <f>'8. Main Canal'!$C$254</f>
        <v>0</v>
      </c>
      <c r="E47" s="456">
        <v>1.5</v>
      </c>
      <c r="F47" s="107" t="s">
        <v>387</v>
      </c>
      <c r="G47" s="108"/>
      <c r="H47" s="110">
        <f t="shared" si="0"/>
        <v>0</v>
      </c>
      <c r="I47" s="110"/>
    </row>
    <row r="48" spans="1:9" s="60" customFormat="1" ht="51.75">
      <c r="A48" s="72" t="s">
        <v>1295</v>
      </c>
      <c r="B48" s="86" t="s">
        <v>401</v>
      </c>
      <c r="C48" s="72"/>
      <c r="D48" s="106">
        <f>H48/I48</f>
        <v>0</v>
      </c>
      <c r="E48" s="456"/>
      <c r="F48" s="107" t="s">
        <v>140</v>
      </c>
      <c r="G48" s="108" t="s">
        <v>1177</v>
      </c>
      <c r="H48" s="109">
        <f>SUM(H49:H52)</f>
        <v>0</v>
      </c>
      <c r="I48" s="654">
        <f>SUM(E49:E52)</f>
        <v>4.5</v>
      </c>
    </row>
    <row r="49" spans="1:9" s="60" customFormat="1" ht="12.75">
      <c r="A49" s="72" t="s">
        <v>1296</v>
      </c>
      <c r="B49" s="72"/>
      <c r="C49" s="72" t="s">
        <v>754</v>
      </c>
      <c r="D49" s="449">
        <f>'5. Project Office Questions'!$C$134</f>
        <v>0</v>
      </c>
      <c r="E49" s="456">
        <v>1</v>
      </c>
      <c r="F49" s="107" t="s">
        <v>141</v>
      </c>
      <c r="G49" s="108"/>
      <c r="H49" s="109">
        <f t="shared" si="0"/>
        <v>0</v>
      </c>
      <c r="I49" s="109"/>
    </row>
    <row r="50" spans="1:9" s="60" customFormat="1" ht="12.75">
      <c r="A50" s="72" t="s">
        <v>1297</v>
      </c>
      <c r="B50" s="72"/>
      <c r="C50" s="72" t="s">
        <v>760</v>
      </c>
      <c r="D50" s="450">
        <f>'5. Project Office Questions'!$C$140</f>
        <v>0</v>
      </c>
      <c r="E50" s="456">
        <v>1</v>
      </c>
      <c r="F50" s="107" t="s">
        <v>142</v>
      </c>
      <c r="G50" s="108"/>
      <c r="H50" s="109">
        <f t="shared" si="0"/>
        <v>0</v>
      </c>
      <c r="I50" s="109"/>
    </row>
    <row r="51" spans="1:9" s="60" customFormat="1" ht="12.75">
      <c r="A51" s="72" t="s">
        <v>1298</v>
      </c>
      <c r="B51" s="72"/>
      <c r="C51" s="72" t="s">
        <v>399</v>
      </c>
      <c r="D51" s="449">
        <f>'5. Project Office Questions'!$C$146</f>
        <v>0</v>
      </c>
      <c r="E51" s="456">
        <v>1</v>
      </c>
      <c r="F51" s="107" t="s">
        <v>143</v>
      </c>
      <c r="G51" s="108"/>
      <c r="H51" s="109">
        <f t="shared" si="0"/>
        <v>0</v>
      </c>
      <c r="I51" s="109"/>
    </row>
    <row r="52" spans="1:9" s="60" customFormat="1" ht="12.75">
      <c r="A52" s="72" t="s">
        <v>1299</v>
      </c>
      <c r="B52" s="72"/>
      <c r="C52" s="72" t="s">
        <v>400</v>
      </c>
      <c r="D52" s="449">
        <f>'5. Project Office Questions'!$C$152</f>
        <v>0</v>
      </c>
      <c r="E52" s="456">
        <v>1.5</v>
      </c>
      <c r="F52" s="107" t="s">
        <v>144</v>
      </c>
      <c r="G52" s="108"/>
      <c r="H52" s="110">
        <f t="shared" si="0"/>
        <v>0</v>
      </c>
      <c r="I52" s="110"/>
    </row>
    <row r="53" spans="1:9" s="60" customFormat="1" ht="57" customHeight="1">
      <c r="A53" s="72" t="s">
        <v>389</v>
      </c>
      <c r="B53" s="72" t="s">
        <v>138</v>
      </c>
      <c r="C53" s="72"/>
      <c r="D53" s="106">
        <f>H53/I53</f>
        <v>0</v>
      </c>
      <c r="E53" s="456"/>
      <c r="F53" s="107" t="s">
        <v>145</v>
      </c>
      <c r="G53" s="108" t="s">
        <v>178</v>
      </c>
      <c r="H53" s="109">
        <f>SUM(H54:H56)</f>
        <v>0</v>
      </c>
      <c r="I53" s="654">
        <f>SUM(E54:E56)</f>
        <v>4</v>
      </c>
    </row>
    <row r="54" spans="1:9" s="60" customFormat="1" ht="24">
      <c r="A54" s="72" t="s">
        <v>390</v>
      </c>
      <c r="B54" s="72"/>
      <c r="C54" s="6" t="s">
        <v>493</v>
      </c>
      <c r="D54" s="449">
        <f>'11. Final deliveries'!$C$117</f>
        <v>0</v>
      </c>
      <c r="E54" s="456">
        <v>2</v>
      </c>
      <c r="F54" s="107" t="s">
        <v>146</v>
      </c>
      <c r="G54" s="108"/>
      <c r="H54" s="109">
        <f t="shared" si="0"/>
        <v>0</v>
      </c>
      <c r="I54" s="109"/>
    </row>
    <row r="55" spans="1:9" s="60" customFormat="1" ht="12.75">
      <c r="A55" s="72" t="s">
        <v>391</v>
      </c>
      <c r="B55" s="72"/>
      <c r="C55" s="7" t="s">
        <v>494</v>
      </c>
      <c r="D55" s="449">
        <f>'11. Final deliveries'!$C$123</f>
        <v>0</v>
      </c>
      <c r="E55" s="456">
        <v>1</v>
      </c>
      <c r="F55" s="107" t="s">
        <v>147</v>
      </c>
      <c r="G55" s="108"/>
      <c r="H55" s="109">
        <f t="shared" si="0"/>
        <v>0</v>
      </c>
      <c r="I55" s="109"/>
    </row>
    <row r="56" spans="1:9" s="60" customFormat="1" ht="12.75">
      <c r="A56" s="72" t="s">
        <v>392</v>
      </c>
      <c r="B56" s="72"/>
      <c r="C56" s="7" t="s">
        <v>495</v>
      </c>
      <c r="D56" s="449">
        <f>'11. Final deliveries'!$C$129</f>
        <v>0</v>
      </c>
      <c r="E56" s="456">
        <v>1</v>
      </c>
      <c r="F56" s="107" t="s">
        <v>148</v>
      </c>
      <c r="G56" s="108"/>
      <c r="H56" s="110">
        <f t="shared" si="0"/>
        <v>0</v>
      </c>
      <c r="I56" s="110"/>
    </row>
    <row r="57" spans="1:9" s="60" customFormat="1" ht="12.75">
      <c r="A57" s="88"/>
      <c r="B57" s="88"/>
      <c r="C57" s="89"/>
      <c r="D57" s="398"/>
      <c r="E57" s="457"/>
      <c r="F57" s="105"/>
      <c r="G57" s="111"/>
      <c r="H57" s="109"/>
      <c r="I57" s="109"/>
    </row>
    <row r="58" spans="1:9" s="60" customFormat="1" ht="15.75">
      <c r="A58" s="72"/>
      <c r="B58" s="91" t="s">
        <v>88</v>
      </c>
      <c r="C58" s="7"/>
      <c r="D58" s="399"/>
      <c r="E58" s="456"/>
      <c r="F58" s="107"/>
      <c r="G58" s="108"/>
      <c r="H58" s="109"/>
      <c r="I58" s="109"/>
    </row>
    <row r="59" spans="1:9" s="60" customFormat="1" ht="26.25">
      <c r="A59" s="72" t="s">
        <v>140</v>
      </c>
      <c r="B59" s="72" t="s">
        <v>139</v>
      </c>
      <c r="C59" s="72"/>
      <c r="D59" s="106" t="e">
        <f>H59/I59</f>
        <v>#DIV/0!</v>
      </c>
      <c r="E59" s="456"/>
      <c r="F59" s="107" t="s">
        <v>149</v>
      </c>
      <c r="G59" s="108" t="s">
        <v>586</v>
      </c>
      <c r="H59" s="109" t="e">
        <f>SUM(H60:H63)</f>
        <v>#DIV/0!</v>
      </c>
      <c r="I59" s="654">
        <f>SUM(E60:E63)</f>
        <v>7</v>
      </c>
    </row>
    <row r="60" spans="1:9" s="60" customFormat="1" ht="36">
      <c r="A60" s="72" t="s">
        <v>141</v>
      </c>
      <c r="B60" s="72"/>
      <c r="C60" s="7" t="s">
        <v>155</v>
      </c>
      <c r="D60" s="449">
        <f>'8. Main Canal'!$C$78</f>
        <v>0</v>
      </c>
      <c r="E60" s="456">
        <v>1</v>
      </c>
      <c r="F60" s="107" t="s">
        <v>150</v>
      </c>
      <c r="G60" s="108"/>
      <c r="H60" s="109">
        <f t="shared" si="0"/>
        <v>0</v>
      </c>
      <c r="I60" s="109"/>
    </row>
    <row r="61" spans="1:9" s="60" customFormat="1" ht="26.25" customHeight="1">
      <c r="A61" s="72" t="s">
        <v>142</v>
      </c>
      <c r="B61" s="72"/>
      <c r="C61" s="7" t="s">
        <v>156</v>
      </c>
      <c r="D61" s="449">
        <f>'8. Main Canal'!$C$84</f>
        <v>0</v>
      </c>
      <c r="E61" s="456">
        <v>1</v>
      </c>
      <c r="F61" s="107" t="s">
        <v>152</v>
      </c>
      <c r="G61" s="108"/>
      <c r="H61" s="109">
        <f t="shared" si="0"/>
        <v>0</v>
      </c>
      <c r="I61" s="109"/>
    </row>
    <row r="62" spans="1:9" s="60" customFormat="1" ht="17.25" customHeight="1">
      <c r="A62" s="72" t="s">
        <v>143</v>
      </c>
      <c r="B62" s="72"/>
      <c r="C62" s="7" t="s">
        <v>157</v>
      </c>
      <c r="D62" s="449" t="e">
        <f>'8. Main Canal'!$C$91</f>
        <v>#DIV/0!</v>
      </c>
      <c r="E62" s="456">
        <v>3</v>
      </c>
      <c r="F62" s="107" t="s">
        <v>153</v>
      </c>
      <c r="G62" s="108"/>
      <c r="H62" s="109" t="e">
        <f t="shared" si="0"/>
        <v>#DIV/0!</v>
      </c>
      <c r="I62" s="109"/>
    </row>
    <row r="63" spans="1:9" s="60" customFormat="1" ht="12.75">
      <c r="A63" s="72" t="s">
        <v>144</v>
      </c>
      <c r="B63" s="72"/>
      <c r="C63" s="7" t="s">
        <v>601</v>
      </c>
      <c r="D63" s="449" t="b">
        <f>'8. Main Canal'!$C$92</f>
        <v>0</v>
      </c>
      <c r="E63" s="456">
        <v>2</v>
      </c>
      <c r="F63" s="107" t="s">
        <v>154</v>
      </c>
      <c r="G63" s="108"/>
      <c r="H63" s="110">
        <f t="shared" si="0"/>
        <v>0</v>
      </c>
      <c r="I63" s="110"/>
    </row>
    <row r="64" spans="1:9" s="60" customFormat="1" ht="26.25">
      <c r="A64" s="72" t="s">
        <v>145</v>
      </c>
      <c r="B64" s="72" t="s">
        <v>411</v>
      </c>
      <c r="C64" s="72"/>
      <c r="D64" s="106">
        <f>H64/I64</f>
        <v>0</v>
      </c>
      <c r="E64" s="456"/>
      <c r="F64" s="107" t="s">
        <v>415</v>
      </c>
      <c r="G64" s="108" t="s">
        <v>586</v>
      </c>
      <c r="H64" s="109">
        <f>SUM(H65:H67)</f>
        <v>0</v>
      </c>
      <c r="I64" s="654">
        <f>SUM(E65:E67)</f>
        <v>3</v>
      </c>
    </row>
    <row r="65" spans="1:9" s="60" customFormat="1" ht="69.75" customHeight="1">
      <c r="A65" s="72" t="s">
        <v>146</v>
      </c>
      <c r="B65" s="72"/>
      <c r="C65" s="7" t="s">
        <v>414</v>
      </c>
      <c r="D65" s="449">
        <f>'8. Main Canal'!$C$177</f>
        <v>0</v>
      </c>
      <c r="E65" s="456">
        <v>1</v>
      </c>
      <c r="F65" s="107" t="s">
        <v>1249</v>
      </c>
      <c r="G65" s="108"/>
      <c r="H65" s="109">
        <f t="shared" si="0"/>
        <v>0</v>
      </c>
      <c r="I65" s="109"/>
    </row>
    <row r="66" spans="1:9" s="60" customFormat="1" ht="12.75">
      <c r="A66" s="72" t="s">
        <v>147</v>
      </c>
      <c r="B66" s="72"/>
      <c r="C66" s="7" t="s">
        <v>412</v>
      </c>
      <c r="D66" s="449">
        <f>'8. Main Canal'!$C$183</f>
        <v>0</v>
      </c>
      <c r="E66" s="456">
        <v>1</v>
      </c>
      <c r="F66" s="107" t="s">
        <v>1251</v>
      </c>
      <c r="G66" s="108"/>
      <c r="H66" s="109">
        <f t="shared" si="0"/>
        <v>0</v>
      </c>
      <c r="I66" s="109"/>
    </row>
    <row r="67" spans="1:9" s="60" customFormat="1" ht="12.75">
      <c r="A67" s="72" t="s">
        <v>148</v>
      </c>
      <c r="B67" s="72"/>
      <c r="C67" s="7" t="s">
        <v>413</v>
      </c>
      <c r="D67" s="449">
        <f>'8. Main Canal'!$C$189</f>
        <v>0</v>
      </c>
      <c r="E67" s="456">
        <v>1</v>
      </c>
      <c r="F67" s="107" t="s">
        <v>1252</v>
      </c>
      <c r="G67" s="108"/>
      <c r="H67" s="110">
        <f t="shared" si="0"/>
        <v>0</v>
      </c>
      <c r="I67" s="110"/>
    </row>
    <row r="68" spans="1:9" s="60" customFormat="1" ht="26.25">
      <c r="A68" s="87" t="s">
        <v>149</v>
      </c>
      <c r="B68" s="72" t="s">
        <v>1253</v>
      </c>
      <c r="C68" s="72"/>
      <c r="D68" s="106">
        <f>H68/I68</f>
        <v>0</v>
      </c>
      <c r="E68" s="456"/>
      <c r="F68" s="107" t="s">
        <v>1258</v>
      </c>
      <c r="G68" s="108" t="s">
        <v>586</v>
      </c>
      <c r="H68" s="109">
        <f>SUM(H69:H72)</f>
        <v>0</v>
      </c>
      <c r="I68" s="654">
        <f>SUM(E69:E72)</f>
        <v>6</v>
      </c>
    </row>
    <row r="69" spans="1:9" s="60" customFormat="1" ht="12.75">
      <c r="A69" s="87" t="s">
        <v>150</v>
      </c>
      <c r="B69" s="72"/>
      <c r="C69" s="7" t="s">
        <v>1254</v>
      </c>
      <c r="D69" s="449">
        <f>'8. Main Canal'!$C$195</f>
        <v>0</v>
      </c>
      <c r="E69" s="456">
        <v>2</v>
      </c>
      <c r="F69" s="107" t="s">
        <v>1259</v>
      </c>
      <c r="G69" s="108"/>
      <c r="H69" s="109">
        <f>D69*E69</f>
        <v>0</v>
      </c>
      <c r="I69" s="109"/>
    </row>
    <row r="70" spans="1:9" s="60" customFormat="1" ht="12.75">
      <c r="A70" s="87" t="s">
        <v>151</v>
      </c>
      <c r="B70" s="72"/>
      <c r="C70" s="7" t="s">
        <v>1255</v>
      </c>
      <c r="D70" s="449">
        <f>'8. Main Canal'!$C$199</f>
        <v>0</v>
      </c>
      <c r="E70" s="456">
        <v>2</v>
      </c>
      <c r="F70" s="107" t="s">
        <v>1260</v>
      </c>
      <c r="G70" s="108"/>
      <c r="H70" s="109">
        <f>D70*E70</f>
        <v>0</v>
      </c>
      <c r="I70" s="109"/>
    </row>
    <row r="71" spans="1:9" s="60" customFormat="1" ht="12.75">
      <c r="A71" s="87" t="s">
        <v>152</v>
      </c>
      <c r="B71" s="72"/>
      <c r="C71" s="7" t="s">
        <v>1256</v>
      </c>
      <c r="D71" s="449">
        <f>'8. Main Canal'!$C$203</f>
        <v>0</v>
      </c>
      <c r="E71" s="456">
        <v>1</v>
      </c>
      <c r="F71" s="107" t="s">
        <v>1261</v>
      </c>
      <c r="G71" s="108"/>
      <c r="H71" s="109">
        <f>D71*E71</f>
        <v>0</v>
      </c>
      <c r="I71" s="109"/>
    </row>
    <row r="72" spans="1:9" s="60" customFormat="1" ht="12.75">
      <c r="A72" s="87" t="s">
        <v>153</v>
      </c>
      <c r="B72" s="72"/>
      <c r="C72" s="7" t="s">
        <v>1257</v>
      </c>
      <c r="D72" s="449">
        <f>'8. Main Canal'!$C$207</f>
        <v>0</v>
      </c>
      <c r="E72" s="456">
        <v>1</v>
      </c>
      <c r="F72" s="107" t="s">
        <v>1262</v>
      </c>
      <c r="G72" s="108"/>
      <c r="H72" s="110">
        <f>D72*E72</f>
        <v>0</v>
      </c>
      <c r="I72" s="110"/>
    </row>
    <row r="73" spans="1:9" s="60" customFormat="1" ht="26.25">
      <c r="A73" s="87" t="s">
        <v>1263</v>
      </c>
      <c r="B73" s="72" t="s">
        <v>1264</v>
      </c>
      <c r="C73" s="72"/>
      <c r="D73" s="106">
        <f>H73/I73</f>
        <v>0.2727272727272727</v>
      </c>
      <c r="E73" s="456"/>
      <c r="F73" s="107" t="s">
        <v>519</v>
      </c>
      <c r="G73" s="108" t="s">
        <v>586</v>
      </c>
      <c r="H73" s="109">
        <f>SUM(H74:H79)</f>
        <v>3</v>
      </c>
      <c r="I73" s="654">
        <f>SUM(E74:E79)</f>
        <v>11</v>
      </c>
    </row>
    <row r="74" spans="1:9" s="60" customFormat="1" ht="12.75">
      <c r="A74" s="72" t="s">
        <v>1271</v>
      </c>
      <c r="B74" s="72"/>
      <c r="C74" s="7" t="s">
        <v>1265</v>
      </c>
      <c r="D74" s="449" t="b">
        <f>'8. Main Canal'!$C$107</f>
        <v>0</v>
      </c>
      <c r="E74" s="456">
        <v>2</v>
      </c>
      <c r="F74" s="107" t="s">
        <v>520</v>
      </c>
      <c r="G74" s="108"/>
      <c r="H74" s="109">
        <f aca="true" t="shared" si="1" ref="H74:H79">D74*E74</f>
        <v>0</v>
      </c>
      <c r="I74" s="109"/>
    </row>
    <row r="75" spans="1:9" s="60" customFormat="1" ht="38.25" customHeight="1">
      <c r="A75" s="72" t="s">
        <v>1272</v>
      </c>
      <c r="B75" s="72"/>
      <c r="C75" s="7" t="s">
        <v>1266</v>
      </c>
      <c r="D75" s="449" t="b">
        <f>'8. Main Canal'!$C$109</f>
        <v>0</v>
      </c>
      <c r="E75" s="456">
        <v>2</v>
      </c>
      <c r="F75" s="107" t="s">
        <v>521</v>
      </c>
      <c r="G75" s="108"/>
      <c r="H75" s="109">
        <f t="shared" si="1"/>
        <v>0</v>
      </c>
      <c r="I75" s="109"/>
    </row>
    <row r="76" spans="1:9" s="60" customFormat="1" ht="12.75">
      <c r="A76" s="72" t="s">
        <v>1273</v>
      </c>
      <c r="B76" s="72"/>
      <c r="C76" s="7" t="s">
        <v>1268</v>
      </c>
      <c r="D76" s="449">
        <f>'8. Main Canal'!$C$112</f>
        <v>0</v>
      </c>
      <c r="E76" s="456">
        <v>3</v>
      </c>
      <c r="F76" s="107" t="s">
        <v>522</v>
      </c>
      <c r="G76" s="108"/>
      <c r="H76" s="109">
        <f t="shared" si="1"/>
        <v>0</v>
      </c>
      <c r="I76" s="109"/>
    </row>
    <row r="77" spans="1:9" s="60" customFormat="1" ht="12.75">
      <c r="A77" s="72" t="s">
        <v>1274</v>
      </c>
      <c r="B77" s="72"/>
      <c r="C77" s="7" t="s">
        <v>1267</v>
      </c>
      <c r="D77" s="449">
        <f>'8. Main Canal'!$C$111</f>
        <v>3</v>
      </c>
      <c r="E77" s="456">
        <v>1</v>
      </c>
      <c r="F77" s="107" t="s">
        <v>523</v>
      </c>
      <c r="G77" s="108"/>
      <c r="H77" s="109">
        <f t="shared" si="1"/>
        <v>3</v>
      </c>
      <c r="I77" s="109"/>
    </row>
    <row r="78" spans="1:9" s="60" customFormat="1" ht="50.25" customHeight="1">
      <c r="A78" s="72" t="s">
        <v>1275</v>
      </c>
      <c r="B78" s="72"/>
      <c r="C78" s="7" t="s">
        <v>1269</v>
      </c>
      <c r="D78" s="449">
        <f>'8. Main Canal'!$C$118</f>
        <v>0</v>
      </c>
      <c r="E78" s="456">
        <v>1</v>
      </c>
      <c r="F78" s="107" t="s">
        <v>524</v>
      </c>
      <c r="G78" s="108"/>
      <c r="H78" s="109">
        <f t="shared" si="1"/>
        <v>0</v>
      </c>
      <c r="I78" s="109"/>
    </row>
    <row r="79" spans="1:9" s="60" customFormat="1" ht="12.75">
      <c r="A79" s="72" t="s">
        <v>1276</v>
      </c>
      <c r="B79" s="72"/>
      <c r="C79" s="7" t="s">
        <v>1270</v>
      </c>
      <c r="D79" s="449">
        <f>'8. Main Canal'!$C$124</f>
        <v>0</v>
      </c>
      <c r="E79" s="456">
        <v>2</v>
      </c>
      <c r="F79" s="107" t="s">
        <v>530</v>
      </c>
      <c r="G79" s="108"/>
      <c r="H79" s="110">
        <f t="shared" si="1"/>
        <v>0</v>
      </c>
      <c r="I79" s="110"/>
    </row>
    <row r="80" spans="1:9" s="60" customFormat="1" ht="26.25">
      <c r="A80" s="72" t="s">
        <v>415</v>
      </c>
      <c r="B80" s="72" t="s">
        <v>1280</v>
      </c>
      <c r="C80" s="72"/>
      <c r="D80" s="106">
        <f>H80/I80</f>
        <v>0</v>
      </c>
      <c r="E80" s="456"/>
      <c r="F80" s="107" t="s">
        <v>525</v>
      </c>
      <c r="G80" s="108" t="s">
        <v>586</v>
      </c>
      <c r="H80" s="109">
        <f>SUM(H81:H84)</f>
        <v>0</v>
      </c>
      <c r="I80" s="654">
        <f>SUM(E81:E84)</f>
        <v>5</v>
      </c>
    </row>
    <row r="81" spans="1:9" s="60" customFormat="1" ht="12.75">
      <c r="A81" s="72" t="s">
        <v>1249</v>
      </c>
      <c r="B81" s="72"/>
      <c r="C81" s="7" t="s">
        <v>1281</v>
      </c>
      <c r="D81" s="449">
        <f>'8. Main Canal'!$C$40</f>
        <v>0</v>
      </c>
      <c r="E81" s="456">
        <v>1</v>
      </c>
      <c r="F81" s="107" t="s">
        <v>526</v>
      </c>
      <c r="G81" s="108"/>
      <c r="H81" s="109">
        <f>D81*E81</f>
        <v>0</v>
      </c>
      <c r="I81" s="109"/>
    </row>
    <row r="82" spans="1:9" s="60" customFormat="1" ht="24">
      <c r="A82" s="72" t="s">
        <v>1250</v>
      </c>
      <c r="B82" s="72"/>
      <c r="C82" s="7" t="s">
        <v>219</v>
      </c>
      <c r="D82" s="449">
        <f>'8. Main Canal'!$C$46</f>
        <v>0</v>
      </c>
      <c r="E82" s="456">
        <v>1</v>
      </c>
      <c r="F82" s="107" t="s">
        <v>527</v>
      </c>
      <c r="G82" s="108"/>
      <c r="H82" s="109">
        <f>D82*E82</f>
        <v>0</v>
      </c>
      <c r="I82" s="109"/>
    </row>
    <row r="83" spans="1:9" s="60" customFormat="1" ht="12.75">
      <c r="A83" s="72" t="s">
        <v>1251</v>
      </c>
      <c r="B83" s="72"/>
      <c r="C83" s="7" t="s">
        <v>1078</v>
      </c>
      <c r="D83" s="449">
        <f>'8. Main Canal'!$C$52</f>
        <v>0</v>
      </c>
      <c r="E83" s="456">
        <v>2</v>
      </c>
      <c r="F83" s="107" t="s">
        <v>528</v>
      </c>
      <c r="G83" s="108"/>
      <c r="H83" s="109">
        <f>D83*E83</f>
        <v>0</v>
      </c>
      <c r="I83" s="109"/>
    </row>
    <row r="84" spans="1:9" s="60" customFormat="1" ht="24">
      <c r="A84" s="72" t="s">
        <v>1252</v>
      </c>
      <c r="B84" s="72"/>
      <c r="C84" s="7" t="s">
        <v>85</v>
      </c>
      <c r="D84" s="449" t="b">
        <f>'8. Main Canal'!$C$134</f>
        <v>0</v>
      </c>
      <c r="E84" s="456">
        <v>1</v>
      </c>
      <c r="F84" s="107" t="s">
        <v>529</v>
      </c>
      <c r="G84" s="108"/>
      <c r="H84" s="110">
        <f>D84*E84</f>
        <v>0</v>
      </c>
      <c r="I84" s="110"/>
    </row>
    <row r="85" spans="1:9" s="60" customFormat="1" ht="26.25">
      <c r="A85" s="72" t="s">
        <v>1258</v>
      </c>
      <c r="B85" s="72" t="s">
        <v>86</v>
      </c>
      <c r="C85" s="92"/>
      <c r="D85" s="106">
        <f>H85/I85</f>
        <v>0</v>
      </c>
      <c r="E85" s="456"/>
      <c r="F85" s="107" t="s">
        <v>514</v>
      </c>
      <c r="G85" s="108" t="s">
        <v>586</v>
      </c>
      <c r="H85" s="109">
        <f>SUM(H86:H89)</f>
        <v>0</v>
      </c>
      <c r="I85" s="654">
        <f>SUM(E86:E89)</f>
        <v>5</v>
      </c>
    </row>
    <row r="86" spans="1:9" s="60" customFormat="1" ht="48.75" customHeight="1">
      <c r="A86" s="72" t="s">
        <v>1259</v>
      </c>
      <c r="B86" s="72"/>
      <c r="C86" s="7" t="s">
        <v>87</v>
      </c>
      <c r="D86" s="449">
        <f>'8. Main Canal'!$C$212</f>
        <v>0</v>
      </c>
      <c r="E86" s="456">
        <v>2</v>
      </c>
      <c r="F86" s="107" t="s">
        <v>515</v>
      </c>
      <c r="G86" s="108"/>
      <c r="H86" s="109">
        <f>D86*E86</f>
        <v>0</v>
      </c>
      <c r="I86" s="109"/>
    </row>
    <row r="87" spans="1:9" s="60" customFormat="1" ht="50.25" customHeight="1">
      <c r="A87" s="72" t="s">
        <v>1260</v>
      </c>
      <c r="B87" s="72"/>
      <c r="C87" s="7" t="s">
        <v>1130</v>
      </c>
      <c r="D87" s="449">
        <f>'8. Main Canal'!$C$217</f>
        <v>0</v>
      </c>
      <c r="E87" s="456">
        <v>1</v>
      </c>
      <c r="F87" s="107" t="s">
        <v>516</v>
      </c>
      <c r="G87" s="108"/>
      <c r="H87" s="109">
        <f>D87*E87</f>
        <v>0</v>
      </c>
      <c r="I87" s="109"/>
    </row>
    <row r="88" spans="1:9" s="60" customFormat="1" ht="12.75">
      <c r="A88" s="72" t="s">
        <v>1261</v>
      </c>
      <c r="B88" s="72"/>
      <c r="C88" s="7" t="s">
        <v>374</v>
      </c>
      <c r="D88" s="449">
        <f>'8. Main Canal'!$C$222</f>
        <v>0</v>
      </c>
      <c r="E88" s="456">
        <v>1</v>
      </c>
      <c r="F88" s="107" t="s">
        <v>517</v>
      </c>
      <c r="G88" s="108"/>
      <c r="H88" s="109">
        <f>D88*E88</f>
        <v>0</v>
      </c>
      <c r="I88" s="109"/>
    </row>
    <row r="89" spans="1:9" s="60" customFormat="1" ht="45" customHeight="1">
      <c r="A89" s="72" t="s">
        <v>1262</v>
      </c>
      <c r="B89" s="72"/>
      <c r="C89" s="7" t="s">
        <v>716</v>
      </c>
      <c r="D89" s="449">
        <f>'8. Main Canal'!$C$227</f>
        <v>0</v>
      </c>
      <c r="E89" s="456">
        <v>1</v>
      </c>
      <c r="F89" s="107" t="s">
        <v>518</v>
      </c>
      <c r="G89" s="108"/>
      <c r="H89" s="109">
        <f>D89*E89</f>
        <v>0</v>
      </c>
      <c r="I89" s="109"/>
    </row>
    <row r="90" spans="1:9" s="60" customFormat="1" ht="12.75">
      <c r="A90" s="88"/>
      <c r="B90" s="88"/>
      <c r="C90" s="88"/>
      <c r="D90" s="398"/>
      <c r="E90" s="457"/>
      <c r="F90" s="105"/>
      <c r="G90" s="111"/>
      <c r="H90" s="109"/>
      <c r="I90" s="109"/>
    </row>
    <row r="91" spans="1:9" s="60" customFormat="1" ht="31.5">
      <c r="A91" s="72"/>
      <c r="B91" s="91" t="s">
        <v>453</v>
      </c>
      <c r="C91" s="72"/>
      <c r="D91" s="399"/>
      <c r="E91" s="456"/>
      <c r="F91" s="107"/>
      <c r="G91" s="108"/>
      <c r="H91" s="109"/>
      <c r="I91" s="109"/>
    </row>
    <row r="92" spans="1:9" s="60" customFormat="1" ht="42" customHeight="1">
      <c r="A92" s="72" t="s">
        <v>519</v>
      </c>
      <c r="B92" s="72" t="s">
        <v>487</v>
      </c>
      <c r="C92" s="72"/>
      <c r="D92" s="106" t="e">
        <f>H92/I92</f>
        <v>#DIV/0!</v>
      </c>
      <c r="E92" s="456"/>
      <c r="F92" s="107" t="s">
        <v>149</v>
      </c>
      <c r="G92" s="108" t="s">
        <v>453</v>
      </c>
      <c r="H92" s="109" t="e">
        <f>SUM(H93:H96)</f>
        <v>#DIV/0!</v>
      </c>
      <c r="I92" s="654">
        <f>SUM(E93:E96)</f>
        <v>7</v>
      </c>
    </row>
    <row r="93" spans="1:9" s="60" customFormat="1" ht="36">
      <c r="A93" s="72" t="s">
        <v>520</v>
      </c>
      <c r="B93" s="72"/>
      <c r="C93" s="7" t="s">
        <v>155</v>
      </c>
      <c r="D93" s="449">
        <f>'9. Second Level Canals'!C69</f>
        <v>0</v>
      </c>
      <c r="E93" s="456">
        <v>1</v>
      </c>
      <c r="F93" s="107" t="s">
        <v>150</v>
      </c>
      <c r="G93" s="108"/>
      <c r="H93" s="109">
        <f>D93*E93</f>
        <v>0</v>
      </c>
      <c r="I93" s="109"/>
    </row>
    <row r="94" spans="1:9" s="60" customFormat="1" ht="18" customHeight="1">
      <c r="A94" s="72" t="s">
        <v>521</v>
      </c>
      <c r="B94" s="72"/>
      <c r="C94" s="7" t="s">
        <v>156</v>
      </c>
      <c r="D94" s="449">
        <f>'9. Second Level Canals'!C75</f>
        <v>0</v>
      </c>
      <c r="E94" s="456">
        <v>1</v>
      </c>
      <c r="F94" s="107" t="s">
        <v>152</v>
      </c>
      <c r="G94" s="108"/>
      <c r="H94" s="109">
        <f>D94*E94</f>
        <v>0</v>
      </c>
      <c r="I94" s="109"/>
    </row>
    <row r="95" spans="1:9" s="60" customFormat="1" ht="12.75">
      <c r="A95" s="72" t="s">
        <v>522</v>
      </c>
      <c r="B95" s="72"/>
      <c r="C95" s="7" t="s">
        <v>157</v>
      </c>
      <c r="D95" s="449" t="e">
        <f>'9. Second Level Canals'!C82</f>
        <v>#DIV/0!</v>
      </c>
      <c r="E95" s="456">
        <v>3</v>
      </c>
      <c r="F95" s="107" t="s">
        <v>153</v>
      </c>
      <c r="G95" s="108"/>
      <c r="H95" s="109" t="e">
        <f>D95*E95</f>
        <v>#DIV/0!</v>
      </c>
      <c r="I95" s="109"/>
    </row>
    <row r="96" spans="1:9" s="60" customFormat="1" ht="12.75">
      <c r="A96" s="72" t="s">
        <v>523</v>
      </c>
      <c r="B96" s="72"/>
      <c r="C96" s="7" t="s">
        <v>601</v>
      </c>
      <c r="D96" s="449" t="b">
        <f>'9. Second Level Canals'!C83</f>
        <v>0</v>
      </c>
      <c r="E96" s="456">
        <v>2</v>
      </c>
      <c r="F96" s="107" t="s">
        <v>154</v>
      </c>
      <c r="G96" s="108"/>
      <c r="H96" s="110">
        <f>D96*E96</f>
        <v>0</v>
      </c>
      <c r="I96" s="110"/>
    </row>
    <row r="97" spans="1:9" s="60" customFormat="1" ht="34.5">
      <c r="A97" s="72" t="s">
        <v>525</v>
      </c>
      <c r="B97" s="72" t="s">
        <v>492</v>
      </c>
      <c r="C97" s="72"/>
      <c r="D97" s="106">
        <f>H97/I97</f>
        <v>0</v>
      </c>
      <c r="E97" s="456"/>
      <c r="F97" s="107" t="s">
        <v>415</v>
      </c>
      <c r="G97" s="108" t="s">
        <v>453</v>
      </c>
      <c r="H97" s="109">
        <f>SUM(H98:H100)</f>
        <v>0</v>
      </c>
      <c r="I97" s="654">
        <f>SUM(E98:E100)</f>
        <v>3</v>
      </c>
    </row>
    <row r="98" spans="1:9" s="60" customFormat="1" ht="48" customHeight="1">
      <c r="A98" s="72" t="s">
        <v>526</v>
      </c>
      <c r="B98" s="72"/>
      <c r="C98" s="7" t="s">
        <v>414</v>
      </c>
      <c r="D98" s="449">
        <f>'9. Second Level Canals'!C168</f>
        <v>0</v>
      </c>
      <c r="E98" s="456">
        <v>1</v>
      </c>
      <c r="F98" s="107" t="s">
        <v>1249</v>
      </c>
      <c r="G98" s="108"/>
      <c r="H98" s="109">
        <f>D98*E98</f>
        <v>0</v>
      </c>
      <c r="I98" s="109"/>
    </row>
    <row r="99" spans="1:9" s="60" customFormat="1" ht="12.75">
      <c r="A99" s="72" t="s">
        <v>527</v>
      </c>
      <c r="B99" s="72"/>
      <c r="C99" s="7" t="s">
        <v>412</v>
      </c>
      <c r="D99" s="449">
        <f>'9. Second Level Canals'!C174</f>
        <v>0</v>
      </c>
      <c r="E99" s="456">
        <v>1</v>
      </c>
      <c r="F99" s="107" t="s">
        <v>1251</v>
      </c>
      <c r="G99" s="108"/>
      <c r="H99" s="109">
        <f>D99*E99</f>
        <v>0</v>
      </c>
      <c r="I99" s="109"/>
    </row>
    <row r="100" spans="1:9" s="60" customFormat="1" ht="12.75">
      <c r="A100" s="72" t="s">
        <v>528</v>
      </c>
      <c r="B100" s="72"/>
      <c r="C100" s="7" t="s">
        <v>413</v>
      </c>
      <c r="D100" s="449">
        <f>'9. Second Level Canals'!C180</f>
        <v>0</v>
      </c>
      <c r="E100" s="456">
        <v>1</v>
      </c>
      <c r="F100" s="107" t="s">
        <v>1252</v>
      </c>
      <c r="G100" s="108"/>
      <c r="H100" s="110">
        <f>D100*E100</f>
        <v>0</v>
      </c>
      <c r="I100" s="110"/>
    </row>
    <row r="101" spans="1:9" s="60" customFormat="1" ht="34.5">
      <c r="A101" s="87" t="s">
        <v>514</v>
      </c>
      <c r="B101" s="72" t="s">
        <v>491</v>
      </c>
      <c r="C101" s="72"/>
      <c r="D101" s="106">
        <f>H101/I101</f>
        <v>0</v>
      </c>
      <c r="E101" s="456"/>
      <c r="F101" s="107" t="s">
        <v>1258</v>
      </c>
      <c r="G101" s="108" t="s">
        <v>453</v>
      </c>
      <c r="H101" s="109">
        <f>SUM(H102:H105)</f>
        <v>0</v>
      </c>
      <c r="I101" s="654">
        <f>SUM(E102:E105)</f>
        <v>6</v>
      </c>
    </row>
    <row r="102" spans="1:9" s="60" customFormat="1" ht="12.75">
      <c r="A102" s="87" t="s">
        <v>515</v>
      </c>
      <c r="B102" s="72"/>
      <c r="C102" s="7" t="s">
        <v>1254</v>
      </c>
      <c r="D102" s="449">
        <f>'9. Second Level Canals'!C186</f>
        <v>0</v>
      </c>
      <c r="E102" s="456">
        <v>2</v>
      </c>
      <c r="F102" s="107" t="s">
        <v>1259</v>
      </c>
      <c r="G102" s="108"/>
      <c r="H102" s="109">
        <f>D102*E102</f>
        <v>0</v>
      </c>
      <c r="I102" s="109"/>
    </row>
    <row r="103" spans="1:9" s="60" customFormat="1" ht="12.75">
      <c r="A103" s="87" t="s">
        <v>516</v>
      </c>
      <c r="B103" s="72"/>
      <c r="C103" s="7" t="s">
        <v>1255</v>
      </c>
      <c r="D103" s="449">
        <f>'9. Second Level Canals'!C190</f>
        <v>0</v>
      </c>
      <c r="E103" s="456">
        <v>2</v>
      </c>
      <c r="F103" s="107" t="s">
        <v>1260</v>
      </c>
      <c r="G103" s="108"/>
      <c r="H103" s="109">
        <f>D103*E103</f>
        <v>0</v>
      </c>
      <c r="I103" s="109"/>
    </row>
    <row r="104" spans="1:9" s="60" customFormat="1" ht="12.75">
      <c r="A104" s="87" t="s">
        <v>517</v>
      </c>
      <c r="B104" s="72"/>
      <c r="C104" s="7" t="s">
        <v>1256</v>
      </c>
      <c r="D104" s="449">
        <f>'9. Second Level Canals'!C194</f>
        <v>0</v>
      </c>
      <c r="E104" s="456">
        <v>1</v>
      </c>
      <c r="F104" s="107" t="s">
        <v>1261</v>
      </c>
      <c r="G104" s="108"/>
      <c r="H104" s="109">
        <f>D104*E104</f>
        <v>0</v>
      </c>
      <c r="I104" s="109"/>
    </row>
    <row r="105" spans="1:9" s="60" customFormat="1" ht="12.75">
      <c r="A105" s="87" t="s">
        <v>518</v>
      </c>
      <c r="B105" s="72"/>
      <c r="C105" s="7" t="s">
        <v>1257</v>
      </c>
      <c r="D105" s="449">
        <f>'9. Second Level Canals'!C198</f>
        <v>0</v>
      </c>
      <c r="E105" s="456">
        <v>1</v>
      </c>
      <c r="F105" s="107" t="s">
        <v>1262</v>
      </c>
      <c r="G105" s="108"/>
      <c r="H105" s="110">
        <f>D105*E105</f>
        <v>0</v>
      </c>
      <c r="I105" s="110"/>
    </row>
    <row r="106" spans="1:9" s="60" customFormat="1" ht="34.5">
      <c r="A106" s="87" t="s">
        <v>531</v>
      </c>
      <c r="B106" s="72" t="s">
        <v>490</v>
      </c>
      <c r="C106" s="72"/>
      <c r="D106" s="106">
        <f>H106/I106</f>
        <v>0</v>
      </c>
      <c r="E106" s="456"/>
      <c r="F106" s="107" t="s">
        <v>506</v>
      </c>
      <c r="G106" s="108" t="s">
        <v>453</v>
      </c>
      <c r="H106" s="109">
        <f>SUM(H107:H112)</f>
        <v>0</v>
      </c>
      <c r="I106" s="654">
        <f>SUM(E107:E112)</f>
        <v>11</v>
      </c>
    </row>
    <row r="107" spans="1:9" s="60" customFormat="1" ht="12.75">
      <c r="A107" s="72" t="s">
        <v>532</v>
      </c>
      <c r="B107" s="72"/>
      <c r="C107" s="7" t="s">
        <v>1265</v>
      </c>
      <c r="D107" s="449" t="b">
        <f>'9. Second Level Canals'!C98</f>
        <v>0</v>
      </c>
      <c r="E107" s="456">
        <v>2</v>
      </c>
      <c r="F107" s="107" t="s">
        <v>507</v>
      </c>
      <c r="G107" s="108"/>
      <c r="H107" s="109">
        <f aca="true" t="shared" si="2" ref="H107:H112">D107*E107</f>
        <v>0</v>
      </c>
      <c r="I107" s="109"/>
    </row>
    <row r="108" spans="1:9" ht="18.75" customHeight="1">
      <c r="A108" s="72" t="s">
        <v>533</v>
      </c>
      <c r="B108" s="72"/>
      <c r="C108" s="7" t="s">
        <v>1266</v>
      </c>
      <c r="D108" s="449" t="b">
        <f>'9. Second Level Canals'!C100</f>
        <v>0</v>
      </c>
      <c r="E108" s="456">
        <v>2</v>
      </c>
      <c r="F108" s="107" t="s">
        <v>508</v>
      </c>
      <c r="G108" s="108"/>
      <c r="H108" s="109">
        <f t="shared" si="2"/>
        <v>0</v>
      </c>
      <c r="I108" s="109"/>
    </row>
    <row r="109" spans="1:9" ht="12.75">
      <c r="A109" s="72" t="s">
        <v>534</v>
      </c>
      <c r="B109" s="72"/>
      <c r="C109" s="7" t="s">
        <v>1268</v>
      </c>
      <c r="D109" s="449">
        <f>'9. Second Level Canals'!C103</f>
        <v>0</v>
      </c>
      <c r="E109" s="456">
        <v>3</v>
      </c>
      <c r="F109" s="107" t="s">
        <v>509</v>
      </c>
      <c r="G109" s="108"/>
      <c r="H109" s="109">
        <f t="shared" si="2"/>
        <v>0</v>
      </c>
      <c r="I109" s="109"/>
    </row>
    <row r="110" spans="1:9" ht="12.75">
      <c r="A110" s="72" t="s">
        <v>535</v>
      </c>
      <c r="B110" s="72"/>
      <c r="C110" s="7" t="s">
        <v>1267</v>
      </c>
      <c r="D110" s="449" t="b">
        <f>'9. Second Level Canals'!C102</f>
        <v>0</v>
      </c>
      <c r="E110" s="456">
        <v>1</v>
      </c>
      <c r="F110" s="107" t="s">
        <v>510</v>
      </c>
      <c r="G110" s="108"/>
      <c r="H110" s="109">
        <f t="shared" si="2"/>
        <v>0</v>
      </c>
      <c r="I110" s="109"/>
    </row>
    <row r="111" spans="1:9" ht="24.75" customHeight="1">
      <c r="A111" s="72" t="s">
        <v>536</v>
      </c>
      <c r="B111" s="72"/>
      <c r="C111" s="7" t="s">
        <v>1269</v>
      </c>
      <c r="D111" s="449">
        <f>'9. Second Level Canals'!C109</f>
        <v>0</v>
      </c>
      <c r="E111" s="456">
        <v>1</v>
      </c>
      <c r="F111" s="107" t="s">
        <v>511</v>
      </c>
      <c r="G111" s="108"/>
      <c r="H111" s="109">
        <f t="shared" si="2"/>
        <v>0</v>
      </c>
      <c r="I111" s="109"/>
    </row>
    <row r="112" spans="1:9" ht="12.75">
      <c r="A112" s="72" t="s">
        <v>537</v>
      </c>
      <c r="B112" s="72"/>
      <c r="C112" s="7" t="s">
        <v>1270</v>
      </c>
      <c r="D112" s="449">
        <f>'9. Second Level Canals'!C115</f>
        <v>0</v>
      </c>
      <c r="E112" s="456">
        <v>2</v>
      </c>
      <c r="F112" s="107" t="s">
        <v>512</v>
      </c>
      <c r="G112" s="108"/>
      <c r="H112" s="110">
        <f t="shared" si="2"/>
        <v>0</v>
      </c>
      <c r="I112" s="110"/>
    </row>
    <row r="113" spans="1:9" ht="34.5">
      <c r="A113" s="72" t="s">
        <v>538</v>
      </c>
      <c r="B113" s="72" t="s">
        <v>489</v>
      </c>
      <c r="C113" s="72"/>
      <c r="D113" s="106">
        <f>H113/I113</f>
        <v>0</v>
      </c>
      <c r="E113" s="456"/>
      <c r="F113" s="107" t="s">
        <v>496</v>
      </c>
      <c r="G113" s="108" t="s">
        <v>453</v>
      </c>
      <c r="H113" s="109">
        <f>SUM(H114:H117)</f>
        <v>0</v>
      </c>
      <c r="I113" s="654">
        <f>SUM(E114:E117)</f>
        <v>5</v>
      </c>
    </row>
    <row r="114" spans="1:9" ht="12.75">
      <c r="A114" s="72" t="s">
        <v>539</v>
      </c>
      <c r="B114" s="72"/>
      <c r="C114" s="7" t="s">
        <v>1281</v>
      </c>
      <c r="D114" s="449">
        <f>'9. Second Level Canals'!C31</f>
        <v>0</v>
      </c>
      <c r="E114" s="456">
        <v>1</v>
      </c>
      <c r="F114" s="107" t="s">
        <v>498</v>
      </c>
      <c r="G114" s="108"/>
      <c r="H114" s="109">
        <f>D114*E114</f>
        <v>0</v>
      </c>
      <c r="I114" s="109"/>
    </row>
    <row r="115" spans="1:9" ht="24">
      <c r="A115" s="72" t="s">
        <v>540</v>
      </c>
      <c r="B115" s="72"/>
      <c r="C115" s="7" t="s">
        <v>219</v>
      </c>
      <c r="D115" s="449">
        <f>'9. Second Level Canals'!C37</f>
        <v>0</v>
      </c>
      <c r="E115" s="456">
        <v>1</v>
      </c>
      <c r="F115" s="107" t="s">
        <v>499</v>
      </c>
      <c r="G115" s="108"/>
      <c r="H115" s="109">
        <f>D115*E115</f>
        <v>0</v>
      </c>
      <c r="I115" s="109"/>
    </row>
    <row r="116" spans="1:9" ht="12.75">
      <c r="A116" s="72" t="s">
        <v>541</v>
      </c>
      <c r="B116" s="72"/>
      <c r="C116" s="7" t="s">
        <v>1078</v>
      </c>
      <c r="D116" s="449">
        <f>'9. Second Level Canals'!C43</f>
        <v>0</v>
      </c>
      <c r="E116" s="456">
        <v>2</v>
      </c>
      <c r="F116" s="107" t="s">
        <v>500</v>
      </c>
      <c r="G116" s="108"/>
      <c r="H116" s="109">
        <f>D116*E116</f>
        <v>0</v>
      </c>
      <c r="I116" s="109"/>
    </row>
    <row r="117" spans="1:9" ht="24">
      <c r="A117" s="72" t="s">
        <v>795</v>
      </c>
      <c r="B117" s="72"/>
      <c r="C117" s="7" t="s">
        <v>85</v>
      </c>
      <c r="D117" s="449" t="b">
        <f>'9. Second Level Canals'!C125</f>
        <v>0</v>
      </c>
      <c r="E117" s="456">
        <v>1</v>
      </c>
      <c r="F117" s="107" t="s">
        <v>513</v>
      </c>
      <c r="G117" s="108"/>
      <c r="H117" s="110">
        <f>D117*E117</f>
        <v>0</v>
      </c>
      <c r="I117" s="110"/>
    </row>
    <row r="118" spans="1:9" ht="34.5">
      <c r="A118" s="72" t="s">
        <v>796</v>
      </c>
      <c r="B118" s="72" t="s">
        <v>488</v>
      </c>
      <c r="C118" s="92"/>
      <c r="D118" s="106">
        <f>H118/I118</f>
        <v>0</v>
      </c>
      <c r="E118" s="456"/>
      <c r="F118" s="107" t="s">
        <v>501</v>
      </c>
      <c r="G118" s="108" t="s">
        <v>453</v>
      </c>
      <c r="H118" s="109">
        <f>SUM(H119:H122)</f>
        <v>0</v>
      </c>
      <c r="I118" s="654">
        <f>SUM(E119:E122)</f>
        <v>5</v>
      </c>
    </row>
    <row r="119" spans="1:9" ht="48.75" customHeight="1">
      <c r="A119" s="72" t="s">
        <v>797</v>
      </c>
      <c r="B119" s="72"/>
      <c r="C119" s="7" t="s">
        <v>87</v>
      </c>
      <c r="D119" s="449">
        <f>'9. Second Level Canals'!C203</f>
        <v>0</v>
      </c>
      <c r="E119" s="456">
        <v>2</v>
      </c>
      <c r="F119" s="107" t="s">
        <v>502</v>
      </c>
      <c r="G119" s="108"/>
      <c r="H119" s="109">
        <f>D119*E119</f>
        <v>0</v>
      </c>
      <c r="I119" s="109"/>
    </row>
    <row r="120" spans="1:9" ht="50.25" customHeight="1">
      <c r="A120" s="72" t="s">
        <v>798</v>
      </c>
      <c r="B120" s="72"/>
      <c r="C120" s="7" t="s">
        <v>1130</v>
      </c>
      <c r="D120" s="449">
        <f>'9. Second Level Canals'!C208</f>
        <v>0</v>
      </c>
      <c r="E120" s="456">
        <v>1</v>
      </c>
      <c r="F120" s="107" t="s">
        <v>503</v>
      </c>
      <c r="G120" s="108"/>
      <c r="H120" s="109">
        <f>D120*E120</f>
        <v>0</v>
      </c>
      <c r="I120" s="109"/>
    </row>
    <row r="121" spans="1:9" ht="12.75">
      <c r="A121" s="72" t="s">
        <v>799</v>
      </c>
      <c r="B121" s="72"/>
      <c r="C121" s="7" t="s">
        <v>374</v>
      </c>
      <c r="D121" s="449">
        <f>'9. Second Level Canals'!C213</f>
        <v>0</v>
      </c>
      <c r="E121" s="456">
        <v>1</v>
      </c>
      <c r="F121" s="107" t="s">
        <v>504</v>
      </c>
      <c r="G121" s="108"/>
      <c r="H121" s="109">
        <f>D121*E121</f>
        <v>0</v>
      </c>
      <c r="I121" s="109"/>
    </row>
    <row r="122" spans="1:9" ht="36">
      <c r="A122" s="72" t="s">
        <v>800</v>
      </c>
      <c r="B122" s="72"/>
      <c r="C122" s="7" t="s">
        <v>716</v>
      </c>
      <c r="D122" s="449">
        <f>'9. Second Level Canals'!C218</f>
        <v>0</v>
      </c>
      <c r="E122" s="456">
        <v>1</v>
      </c>
      <c r="F122" s="107" t="s">
        <v>505</v>
      </c>
      <c r="G122" s="108"/>
      <c r="H122" s="109">
        <f>D122*E122</f>
        <v>0</v>
      </c>
      <c r="I122" s="109"/>
    </row>
    <row r="123" spans="1:9" ht="12.75">
      <c r="A123" s="88"/>
      <c r="B123" s="88"/>
      <c r="C123" s="89"/>
      <c r="D123" s="398"/>
      <c r="E123" s="457"/>
      <c r="F123" s="105"/>
      <c r="G123" s="111"/>
      <c r="H123" s="112"/>
      <c r="I123" s="112"/>
    </row>
    <row r="124" spans="1:9" ht="15.75">
      <c r="A124" s="72"/>
      <c r="B124" s="91" t="s">
        <v>294</v>
      </c>
      <c r="C124" s="72"/>
      <c r="D124" s="399"/>
      <c r="E124" s="456"/>
      <c r="F124" s="107"/>
      <c r="G124" s="108"/>
      <c r="H124" s="110"/>
      <c r="I124" s="110"/>
    </row>
    <row r="125" spans="1:9" ht="39" customHeight="1">
      <c r="A125" s="72" t="s">
        <v>807</v>
      </c>
      <c r="B125" s="72" t="s">
        <v>801</v>
      </c>
      <c r="C125" s="72"/>
      <c r="D125" s="106" t="e">
        <f>H125/I125</f>
        <v>#DIV/0!</v>
      </c>
      <c r="E125" s="456"/>
      <c r="F125" s="114"/>
      <c r="G125" s="108" t="s">
        <v>294</v>
      </c>
      <c r="H125" s="109" t="e">
        <f>SUM(H126:H129)</f>
        <v>#DIV/0!</v>
      </c>
      <c r="I125" s="654">
        <f>SUM(E126:E129)</f>
        <v>7</v>
      </c>
    </row>
    <row r="126" spans="1:9" ht="36">
      <c r="A126" s="72" t="s">
        <v>507</v>
      </c>
      <c r="B126" s="72"/>
      <c r="C126" s="7" t="s">
        <v>155</v>
      </c>
      <c r="D126" s="449">
        <f>'10.  Third Level Canals'!C69</f>
        <v>0</v>
      </c>
      <c r="E126" s="456">
        <v>1</v>
      </c>
      <c r="F126" s="114"/>
      <c r="G126" s="108"/>
      <c r="H126" s="109">
        <f>D126*E126</f>
        <v>0</v>
      </c>
      <c r="I126" s="109"/>
    </row>
    <row r="127" spans="1:9" ht="12.75">
      <c r="A127" s="72" t="s">
        <v>508</v>
      </c>
      <c r="B127" s="72"/>
      <c r="C127" s="7" t="s">
        <v>156</v>
      </c>
      <c r="D127" s="449">
        <f>'10.  Third Level Canals'!C75</f>
        <v>0</v>
      </c>
      <c r="E127" s="456">
        <v>1</v>
      </c>
      <c r="F127" s="114"/>
      <c r="G127" s="108"/>
      <c r="H127" s="109">
        <f>D127*E127</f>
        <v>0</v>
      </c>
      <c r="I127" s="109"/>
    </row>
    <row r="128" spans="1:9" ht="12.75">
      <c r="A128" s="72" t="s">
        <v>509</v>
      </c>
      <c r="B128" s="72"/>
      <c r="C128" s="7" t="s">
        <v>157</v>
      </c>
      <c r="D128" s="449" t="e">
        <f>'10.  Third Level Canals'!C82</f>
        <v>#DIV/0!</v>
      </c>
      <c r="E128" s="456">
        <v>3</v>
      </c>
      <c r="F128" s="114"/>
      <c r="G128" s="108"/>
      <c r="H128" s="109" t="e">
        <f>D128*E128</f>
        <v>#DIV/0!</v>
      </c>
      <c r="I128" s="109"/>
    </row>
    <row r="129" spans="1:9" ht="12.75">
      <c r="A129" s="72" t="s">
        <v>510</v>
      </c>
      <c r="B129" s="72"/>
      <c r="C129" s="7" t="s">
        <v>601</v>
      </c>
      <c r="D129" s="449" t="b">
        <f>'10.  Third Level Canals'!C83</f>
        <v>0</v>
      </c>
      <c r="E129" s="456">
        <v>2</v>
      </c>
      <c r="F129" s="114"/>
      <c r="G129" s="108"/>
      <c r="H129" s="110">
        <f>D129*E129</f>
        <v>0</v>
      </c>
      <c r="I129" s="110"/>
    </row>
    <row r="130" spans="1:9" ht="26.25">
      <c r="A130" s="72" t="s">
        <v>496</v>
      </c>
      <c r="B130" s="72" t="s">
        <v>802</v>
      </c>
      <c r="C130" s="72"/>
      <c r="D130" s="106">
        <f>H130/I130</f>
        <v>0</v>
      </c>
      <c r="E130" s="456"/>
      <c r="F130" s="114"/>
      <c r="G130" s="108" t="s">
        <v>294</v>
      </c>
      <c r="H130" s="109">
        <f>SUM(H131:H133)</f>
        <v>0</v>
      </c>
      <c r="I130" s="109">
        <v>3</v>
      </c>
    </row>
    <row r="131" spans="1:9" ht="48" customHeight="1">
      <c r="A131" s="72" t="s">
        <v>497</v>
      </c>
      <c r="B131" s="72"/>
      <c r="C131" s="7" t="s">
        <v>414</v>
      </c>
      <c r="D131" s="449">
        <f>'10.  Third Level Canals'!C168</f>
        <v>0</v>
      </c>
      <c r="E131" s="456">
        <v>1</v>
      </c>
      <c r="F131" s="114"/>
      <c r="G131" s="108"/>
      <c r="H131" s="109">
        <f>D131*E131</f>
        <v>0</v>
      </c>
      <c r="I131" s="109"/>
    </row>
    <row r="132" spans="1:9" ht="12.75">
      <c r="A132" s="72" t="s">
        <v>498</v>
      </c>
      <c r="B132" s="72"/>
      <c r="C132" s="7" t="s">
        <v>412</v>
      </c>
      <c r="D132" s="449">
        <f>'10.  Third Level Canals'!C174</f>
        <v>0</v>
      </c>
      <c r="E132" s="456">
        <v>1</v>
      </c>
      <c r="F132" s="114"/>
      <c r="G132" s="108"/>
      <c r="H132" s="109">
        <f>D132*E132</f>
        <v>0</v>
      </c>
      <c r="I132" s="109"/>
    </row>
    <row r="133" spans="1:9" ht="12.75">
      <c r="A133" s="72" t="s">
        <v>499</v>
      </c>
      <c r="B133" s="72"/>
      <c r="C133" s="7" t="s">
        <v>413</v>
      </c>
      <c r="D133" s="449">
        <f>'10.  Third Level Canals'!C180</f>
        <v>0</v>
      </c>
      <c r="E133" s="456">
        <v>1</v>
      </c>
      <c r="F133" s="114"/>
      <c r="G133" s="108"/>
      <c r="H133" s="110">
        <f>D133*E133</f>
        <v>0</v>
      </c>
      <c r="I133" s="110"/>
    </row>
    <row r="134" spans="1:9" ht="26.25">
      <c r="A134" s="87" t="s">
        <v>501</v>
      </c>
      <c r="B134" s="72" t="s">
        <v>803</v>
      </c>
      <c r="C134" s="72"/>
      <c r="D134" s="106">
        <f>H134/I134</f>
        <v>0</v>
      </c>
      <c r="E134" s="456"/>
      <c r="F134" s="114"/>
      <c r="G134" s="108" t="s">
        <v>294</v>
      </c>
      <c r="H134" s="109">
        <f>SUM(H135:H138)</f>
        <v>0</v>
      </c>
      <c r="I134" s="654">
        <f>SUM(E135:E138)</f>
        <v>6</v>
      </c>
    </row>
    <row r="135" spans="1:9" ht="12.75">
      <c r="A135" s="87" t="s">
        <v>502</v>
      </c>
      <c r="B135" s="72"/>
      <c r="C135" s="7" t="s">
        <v>1254</v>
      </c>
      <c r="D135" s="449">
        <f>'10.  Third Level Canals'!C186</f>
        <v>0</v>
      </c>
      <c r="E135" s="456">
        <v>2</v>
      </c>
      <c r="F135" s="114"/>
      <c r="G135" s="108"/>
      <c r="H135" s="109">
        <f>D135*E135</f>
        <v>0</v>
      </c>
      <c r="I135" s="109"/>
    </row>
    <row r="136" spans="1:9" ht="12.75">
      <c r="A136" s="87" t="s">
        <v>503</v>
      </c>
      <c r="B136" s="72"/>
      <c r="C136" s="7" t="s">
        <v>1255</v>
      </c>
      <c r="D136" s="449">
        <f>'10.  Third Level Canals'!C190</f>
        <v>0</v>
      </c>
      <c r="E136" s="456">
        <v>2</v>
      </c>
      <c r="F136" s="114"/>
      <c r="G136" s="108"/>
      <c r="H136" s="109">
        <f>D136*E136</f>
        <v>0</v>
      </c>
      <c r="I136" s="109"/>
    </row>
    <row r="137" spans="1:9" ht="12.75">
      <c r="A137" s="87" t="s">
        <v>504</v>
      </c>
      <c r="B137" s="72"/>
      <c r="C137" s="7" t="s">
        <v>1256</v>
      </c>
      <c r="D137" s="449">
        <f>'10.  Third Level Canals'!C194</f>
        <v>0</v>
      </c>
      <c r="E137" s="456">
        <v>1</v>
      </c>
      <c r="F137" s="114"/>
      <c r="G137" s="108"/>
      <c r="H137" s="109">
        <f>D137*E137</f>
        <v>0</v>
      </c>
      <c r="I137" s="109"/>
    </row>
    <row r="138" spans="1:9" ht="12.75">
      <c r="A138" s="87" t="s">
        <v>505</v>
      </c>
      <c r="B138" s="72"/>
      <c r="C138" s="7" t="s">
        <v>1257</v>
      </c>
      <c r="D138" s="449">
        <f>'10.  Third Level Canals'!C198</f>
        <v>0</v>
      </c>
      <c r="E138" s="456">
        <v>1</v>
      </c>
      <c r="F138" s="114"/>
      <c r="G138" s="108"/>
      <c r="H138" s="110">
        <f>D138*E138</f>
        <v>0</v>
      </c>
      <c r="I138" s="110"/>
    </row>
    <row r="139" spans="1:9" ht="26.25">
      <c r="A139" s="87" t="s">
        <v>808</v>
      </c>
      <c r="B139" s="72" t="s">
        <v>804</v>
      </c>
      <c r="C139" s="72"/>
      <c r="D139" s="106">
        <f>H139/I139</f>
        <v>0</v>
      </c>
      <c r="E139" s="456"/>
      <c r="F139" s="114"/>
      <c r="G139" s="108" t="s">
        <v>294</v>
      </c>
      <c r="H139" s="109">
        <f>SUM(H140:H145)</f>
        <v>0</v>
      </c>
      <c r="I139" s="654">
        <f>SUM(E140:E145)</f>
        <v>11</v>
      </c>
    </row>
    <row r="140" spans="1:9" ht="12.75">
      <c r="A140" s="72" t="s">
        <v>809</v>
      </c>
      <c r="B140" s="72"/>
      <c r="C140" s="7" t="s">
        <v>1265</v>
      </c>
      <c r="D140" s="449" t="b">
        <f>'10.  Third Level Canals'!C98</f>
        <v>0</v>
      </c>
      <c r="E140" s="456">
        <v>2</v>
      </c>
      <c r="F140" s="114"/>
      <c r="G140" s="108"/>
      <c r="H140" s="109">
        <f aca="true" t="shared" si="3" ref="H140:H145">D140*E140</f>
        <v>0</v>
      </c>
      <c r="I140" s="109"/>
    </row>
    <row r="141" spans="1:9" ht="12.75">
      <c r="A141" s="72" t="s">
        <v>810</v>
      </c>
      <c r="B141" s="72"/>
      <c r="C141" s="7" t="s">
        <v>1266</v>
      </c>
      <c r="D141" s="449" t="b">
        <f>'10.  Third Level Canals'!C100</f>
        <v>0</v>
      </c>
      <c r="E141" s="456">
        <v>2</v>
      </c>
      <c r="F141" s="114"/>
      <c r="G141" s="108"/>
      <c r="H141" s="109">
        <f t="shared" si="3"/>
        <v>0</v>
      </c>
      <c r="I141" s="109"/>
    </row>
    <row r="142" spans="1:9" ht="12.75">
      <c r="A142" s="72" t="s">
        <v>811</v>
      </c>
      <c r="B142" s="72"/>
      <c r="C142" s="7" t="s">
        <v>1268</v>
      </c>
      <c r="D142" s="449">
        <f>'10.  Third Level Canals'!C103</f>
        <v>0</v>
      </c>
      <c r="E142" s="456">
        <v>3</v>
      </c>
      <c r="F142" s="114"/>
      <c r="G142" s="108"/>
      <c r="H142" s="109">
        <f t="shared" si="3"/>
        <v>0</v>
      </c>
      <c r="I142" s="109"/>
    </row>
    <row r="143" spans="1:9" ht="12.75">
      <c r="A143" s="72" t="s">
        <v>812</v>
      </c>
      <c r="B143" s="72"/>
      <c r="C143" s="7" t="s">
        <v>1267</v>
      </c>
      <c r="D143" s="449" t="b">
        <f>'10.  Third Level Canals'!C102</f>
        <v>0</v>
      </c>
      <c r="E143" s="456">
        <v>1</v>
      </c>
      <c r="F143" s="114"/>
      <c r="G143" s="108"/>
      <c r="H143" s="109">
        <f t="shared" si="3"/>
        <v>0</v>
      </c>
      <c r="I143" s="109"/>
    </row>
    <row r="144" spans="1:9" ht="24">
      <c r="A144" s="72" t="s">
        <v>813</v>
      </c>
      <c r="B144" s="72"/>
      <c r="C144" s="7" t="s">
        <v>1269</v>
      </c>
      <c r="D144" s="449">
        <f>'10.  Third Level Canals'!C109</f>
        <v>0</v>
      </c>
      <c r="E144" s="456">
        <v>1</v>
      </c>
      <c r="F144" s="114"/>
      <c r="G144" s="108"/>
      <c r="H144" s="109">
        <f t="shared" si="3"/>
        <v>0</v>
      </c>
      <c r="I144" s="109"/>
    </row>
    <row r="145" spans="1:9" ht="12.75">
      <c r="A145" s="72" t="s">
        <v>814</v>
      </c>
      <c r="B145" s="72"/>
      <c r="C145" s="7" t="s">
        <v>1270</v>
      </c>
      <c r="D145" s="449">
        <f>'10.  Third Level Canals'!C115</f>
        <v>0</v>
      </c>
      <c r="E145" s="456">
        <v>2</v>
      </c>
      <c r="F145" s="114"/>
      <c r="G145" s="108"/>
      <c r="H145" s="110">
        <f t="shared" si="3"/>
        <v>0</v>
      </c>
      <c r="I145" s="110"/>
    </row>
    <row r="146" spans="1:9" ht="26.25">
      <c r="A146" s="72" t="s">
        <v>815</v>
      </c>
      <c r="B146" s="72" t="s">
        <v>805</v>
      </c>
      <c r="C146" s="72"/>
      <c r="D146" s="106">
        <f>H146/I146</f>
        <v>0</v>
      </c>
      <c r="E146" s="456"/>
      <c r="F146" s="114"/>
      <c r="G146" s="108" t="s">
        <v>294</v>
      </c>
      <c r="H146" s="109">
        <f>SUM(H147:H150)</f>
        <v>0</v>
      </c>
      <c r="I146" s="654">
        <f>SUM(E147:E150)</f>
        <v>5</v>
      </c>
    </row>
    <row r="147" spans="1:9" ht="12.75">
      <c r="A147" s="72" t="s">
        <v>816</v>
      </c>
      <c r="B147" s="72"/>
      <c r="C147" s="7" t="s">
        <v>1281</v>
      </c>
      <c r="D147" s="449">
        <f>'10.  Third Level Canals'!C31</f>
        <v>0</v>
      </c>
      <c r="E147" s="456">
        <v>1</v>
      </c>
      <c r="F147" s="114"/>
      <c r="G147" s="108"/>
      <c r="H147" s="109">
        <f>D147*E147</f>
        <v>0</v>
      </c>
      <c r="I147" s="109"/>
    </row>
    <row r="148" spans="1:9" ht="24">
      <c r="A148" s="72" t="s">
        <v>817</v>
      </c>
      <c r="B148" s="72"/>
      <c r="C148" s="7" t="s">
        <v>219</v>
      </c>
      <c r="D148" s="449">
        <f>'10.  Third Level Canals'!C37</f>
        <v>0</v>
      </c>
      <c r="E148" s="456">
        <v>1</v>
      </c>
      <c r="F148" s="114"/>
      <c r="G148" s="108"/>
      <c r="H148" s="109">
        <f>D148*E148</f>
        <v>0</v>
      </c>
      <c r="I148" s="109"/>
    </row>
    <row r="149" spans="1:9" ht="12.75">
      <c r="A149" s="72" t="s">
        <v>818</v>
      </c>
      <c r="B149" s="72"/>
      <c r="C149" s="7" t="s">
        <v>1078</v>
      </c>
      <c r="D149" s="449">
        <f>'10.  Third Level Canals'!C43</f>
        <v>0</v>
      </c>
      <c r="E149" s="456">
        <v>2</v>
      </c>
      <c r="F149" s="114"/>
      <c r="G149" s="108"/>
      <c r="H149" s="109">
        <f>D149*E149</f>
        <v>0</v>
      </c>
      <c r="I149" s="109"/>
    </row>
    <row r="150" spans="1:9" ht="24">
      <c r="A150" s="72" t="s">
        <v>819</v>
      </c>
      <c r="B150" s="72"/>
      <c r="C150" s="7" t="s">
        <v>85</v>
      </c>
      <c r="D150" s="449" t="b">
        <f>'10.  Third Level Canals'!C125</f>
        <v>0</v>
      </c>
      <c r="E150" s="456">
        <v>1</v>
      </c>
      <c r="F150" s="114"/>
      <c r="G150" s="108"/>
      <c r="H150" s="110">
        <f>D150*E150</f>
        <v>0</v>
      </c>
      <c r="I150" s="110"/>
    </row>
    <row r="151" spans="1:9" ht="26.25">
      <c r="A151" s="72" t="s">
        <v>820</v>
      </c>
      <c r="B151" s="72" t="s">
        <v>806</v>
      </c>
      <c r="C151" s="92"/>
      <c r="D151" s="106">
        <f>H151/I151</f>
        <v>0</v>
      </c>
      <c r="E151" s="456"/>
      <c r="F151" s="114"/>
      <c r="G151" s="108" t="s">
        <v>294</v>
      </c>
      <c r="H151" s="109">
        <f>SUM(H152:H155)</f>
        <v>0</v>
      </c>
      <c r="I151" s="654">
        <f>SUM(E152:E155)</f>
        <v>5</v>
      </c>
    </row>
    <row r="152" spans="1:9" ht="48.75" customHeight="1">
      <c r="A152" s="72" t="s">
        <v>821</v>
      </c>
      <c r="B152" s="72"/>
      <c r="C152" s="7" t="s">
        <v>87</v>
      </c>
      <c r="D152" s="473">
        <f>'10.  Third Level Canals'!C203</f>
        <v>0</v>
      </c>
      <c r="E152" s="456">
        <v>2</v>
      </c>
      <c r="F152" s="114"/>
      <c r="G152" s="108"/>
      <c r="H152" s="109">
        <f>D152*E152</f>
        <v>0</v>
      </c>
      <c r="I152" s="109"/>
    </row>
    <row r="153" spans="1:9" ht="48" customHeight="1">
      <c r="A153" s="72" t="s">
        <v>822</v>
      </c>
      <c r="B153" s="72"/>
      <c r="C153" s="7" t="s">
        <v>1130</v>
      </c>
      <c r="D153" s="376">
        <f>'10.  Third Level Canals'!C208</f>
        <v>0</v>
      </c>
      <c r="E153" s="456">
        <v>1</v>
      </c>
      <c r="F153" s="114"/>
      <c r="G153" s="108"/>
      <c r="H153" s="109">
        <f>D153*E153</f>
        <v>0</v>
      </c>
      <c r="I153" s="109"/>
    </row>
    <row r="154" spans="1:9" ht="12.75">
      <c r="A154" s="72" t="s">
        <v>823</v>
      </c>
      <c r="B154" s="72"/>
      <c r="C154" s="7" t="s">
        <v>374</v>
      </c>
      <c r="D154" s="376">
        <f>'10.  Third Level Canals'!C213</f>
        <v>0</v>
      </c>
      <c r="E154" s="456">
        <v>1</v>
      </c>
      <c r="F154" s="114"/>
      <c r="G154" s="108"/>
      <c r="H154" s="109">
        <f>D154*E154</f>
        <v>0</v>
      </c>
      <c r="I154" s="109"/>
    </row>
    <row r="155" spans="1:9" ht="36">
      <c r="A155" s="72" t="s">
        <v>824</v>
      </c>
      <c r="B155" s="72"/>
      <c r="C155" s="7" t="s">
        <v>716</v>
      </c>
      <c r="D155" s="376">
        <f>'10.  Third Level Canals'!C218</f>
        <v>0</v>
      </c>
      <c r="E155" s="456">
        <v>1</v>
      </c>
      <c r="F155" s="114"/>
      <c r="G155" s="108"/>
      <c r="H155" s="109">
        <f>D155*E155</f>
        <v>0</v>
      </c>
      <c r="I155" s="109"/>
    </row>
    <row r="156" spans="1:9" ht="12.75">
      <c r="A156" s="88"/>
      <c r="B156" s="88"/>
      <c r="C156" s="89"/>
      <c r="D156" s="398"/>
      <c r="E156" s="457"/>
      <c r="F156" s="105"/>
      <c r="G156" s="111"/>
      <c r="H156" s="112"/>
      <c r="I156" s="112"/>
    </row>
    <row r="157" spans="1:9" ht="31.5">
      <c r="A157" s="93"/>
      <c r="B157" s="91" t="s">
        <v>825</v>
      </c>
      <c r="C157" s="72"/>
      <c r="D157" s="451"/>
      <c r="E157" s="458"/>
      <c r="F157" s="115"/>
      <c r="G157" s="108"/>
      <c r="H157" s="112"/>
      <c r="I157" s="112"/>
    </row>
    <row r="158" spans="1:9" ht="34.5" customHeight="1">
      <c r="A158" s="94" t="s">
        <v>948</v>
      </c>
      <c r="B158" s="72" t="s">
        <v>826</v>
      </c>
      <c r="C158" s="72"/>
      <c r="D158" s="106" t="e">
        <f>H158/I158</f>
        <v>#DIV/0!</v>
      </c>
      <c r="E158" s="458"/>
      <c r="F158" s="115" t="s">
        <v>808</v>
      </c>
      <c r="G158" s="108" t="s">
        <v>1177</v>
      </c>
      <c r="H158" s="109" t="e">
        <f>SUM(H159:H161)</f>
        <v>#DIV/0!</v>
      </c>
      <c r="I158" s="654">
        <f>SUM(E159:E161)</f>
        <v>5</v>
      </c>
    </row>
    <row r="159" spans="1:9" ht="35.25" customHeight="1">
      <c r="A159" s="93" t="s">
        <v>945</v>
      </c>
      <c r="B159" s="72"/>
      <c r="C159" s="7" t="s">
        <v>938</v>
      </c>
      <c r="D159" s="452" t="e">
        <f>'5. Project Office Questions'!$C$82</f>
        <v>#DIV/0!</v>
      </c>
      <c r="E159" s="458">
        <v>2</v>
      </c>
      <c r="F159" s="115" t="s">
        <v>809</v>
      </c>
      <c r="G159" s="108"/>
      <c r="H159" s="109" t="e">
        <f>D159*E159</f>
        <v>#DIV/0!</v>
      </c>
      <c r="I159" s="109"/>
    </row>
    <row r="160" spans="1:9" ht="38.25" customHeight="1">
      <c r="A160" s="93" t="s">
        <v>946</v>
      </c>
      <c r="B160" s="72"/>
      <c r="C160" s="7" t="s">
        <v>943</v>
      </c>
      <c r="D160" s="452">
        <f>'5. Project Office Questions'!$C$87</f>
        <v>0</v>
      </c>
      <c r="E160" s="458">
        <v>2</v>
      </c>
      <c r="F160" s="115" t="s">
        <v>810</v>
      </c>
      <c r="G160" s="108"/>
      <c r="H160" s="109">
        <f>D160*E160</f>
        <v>0</v>
      </c>
      <c r="I160" s="109"/>
    </row>
    <row r="161" spans="1:9" ht="24">
      <c r="A161" s="93" t="s">
        <v>947</v>
      </c>
      <c r="B161" s="72"/>
      <c r="C161" s="7" t="s">
        <v>944</v>
      </c>
      <c r="D161" s="452" t="e">
        <f>'5. Project Office Questions'!$C$84</f>
        <v>#DIV/0!</v>
      </c>
      <c r="E161" s="458">
        <v>1</v>
      </c>
      <c r="F161" s="115" t="s">
        <v>811</v>
      </c>
      <c r="G161" s="108"/>
      <c r="H161" s="110" t="e">
        <f>D161*E161</f>
        <v>#DIV/0!</v>
      </c>
      <c r="I161" s="110"/>
    </row>
    <row r="162" spans="1:9" ht="23.25">
      <c r="A162" s="93" t="s">
        <v>953</v>
      </c>
      <c r="B162" s="72" t="s">
        <v>570</v>
      </c>
      <c r="C162" s="72"/>
      <c r="D162" s="106" t="e">
        <f>H162/I162</f>
        <v>#DIV/0!</v>
      </c>
      <c r="E162" s="458"/>
      <c r="F162" s="115" t="s">
        <v>815</v>
      </c>
      <c r="G162" s="108" t="s">
        <v>949</v>
      </c>
      <c r="H162" s="109" t="e">
        <f>SUM(H163:H168)</f>
        <v>#DIV/0!</v>
      </c>
      <c r="I162" s="654">
        <f>SUM(E163:E168)</f>
        <v>9.5</v>
      </c>
    </row>
    <row r="163" spans="1:9" ht="36.75" customHeight="1">
      <c r="A163" s="93" t="s">
        <v>954</v>
      </c>
      <c r="B163" s="72"/>
      <c r="C163" s="6" t="s">
        <v>1025</v>
      </c>
      <c r="D163" s="452">
        <f>'6. Project Employees'!$C$10</f>
        <v>0</v>
      </c>
      <c r="E163" s="458">
        <v>1</v>
      </c>
      <c r="F163" s="115" t="s">
        <v>816</v>
      </c>
      <c r="G163" s="108"/>
      <c r="H163" s="109">
        <f aca="true" t="shared" si="4" ref="H163:H168">D163*E163</f>
        <v>0</v>
      </c>
      <c r="I163" s="109"/>
    </row>
    <row r="164" spans="1:9" ht="12.75">
      <c r="A164" s="93" t="s">
        <v>955</v>
      </c>
      <c r="B164" s="72"/>
      <c r="C164" s="6" t="s">
        <v>1026</v>
      </c>
      <c r="D164" s="452">
        <f>'6. Project Employees'!$C$16</f>
        <v>0</v>
      </c>
      <c r="E164" s="458">
        <v>1</v>
      </c>
      <c r="F164" s="115" t="s">
        <v>817</v>
      </c>
      <c r="G164" s="108"/>
      <c r="H164" s="109">
        <f t="shared" si="4"/>
        <v>0</v>
      </c>
      <c r="I164" s="109"/>
    </row>
    <row r="165" spans="1:9" ht="12.75">
      <c r="A165" s="93" t="s">
        <v>956</v>
      </c>
      <c r="B165" s="72"/>
      <c r="C165" s="6" t="s">
        <v>163</v>
      </c>
      <c r="D165" s="452">
        <f>'6. Project Employees'!$C$22</f>
        <v>0</v>
      </c>
      <c r="E165" s="458">
        <v>2.5</v>
      </c>
      <c r="F165" s="115" t="s">
        <v>818</v>
      </c>
      <c r="G165" s="108"/>
      <c r="H165" s="109">
        <f t="shared" si="4"/>
        <v>0</v>
      </c>
      <c r="I165" s="109"/>
    </row>
    <row r="166" spans="1:9" ht="12.75">
      <c r="A166" s="93" t="s">
        <v>957</v>
      </c>
      <c r="B166" s="72"/>
      <c r="C166" s="6" t="s">
        <v>992</v>
      </c>
      <c r="D166" s="452">
        <f>'6. Project Employees'!$C$28</f>
        <v>0</v>
      </c>
      <c r="E166" s="458">
        <v>2</v>
      </c>
      <c r="F166" s="115" t="s">
        <v>819</v>
      </c>
      <c r="G166" s="108"/>
      <c r="H166" s="109">
        <f t="shared" si="4"/>
        <v>0</v>
      </c>
      <c r="I166" s="112"/>
    </row>
    <row r="167" spans="1:9" ht="12.75">
      <c r="A167" s="93" t="s">
        <v>958</v>
      </c>
      <c r="B167" s="72"/>
      <c r="C167" s="6" t="s">
        <v>993</v>
      </c>
      <c r="D167" s="452">
        <f>'6. Project Employees'!$C$34</f>
        <v>0</v>
      </c>
      <c r="E167" s="458">
        <v>1</v>
      </c>
      <c r="F167" s="115" t="s">
        <v>950</v>
      </c>
      <c r="G167" s="108"/>
      <c r="H167" s="109">
        <f t="shared" si="4"/>
        <v>0</v>
      </c>
      <c r="I167" s="112"/>
    </row>
    <row r="168" spans="1:9" ht="12.75">
      <c r="A168" s="93" t="s">
        <v>959</v>
      </c>
      <c r="B168" s="72"/>
      <c r="C168" s="7" t="s">
        <v>952</v>
      </c>
      <c r="D168" s="452" t="e">
        <f>'6. Project Employees'!$C$41</f>
        <v>#DIV/0!</v>
      </c>
      <c r="E168" s="458">
        <v>2</v>
      </c>
      <c r="F168" s="115" t="s">
        <v>951</v>
      </c>
      <c r="G168" s="108"/>
      <c r="H168" s="110" t="e">
        <f t="shared" si="4"/>
        <v>#DIV/0!</v>
      </c>
      <c r="I168" s="116"/>
    </row>
    <row r="169" spans="1:9" ht="15.75">
      <c r="A169" s="93" t="s">
        <v>962</v>
      </c>
      <c r="B169" s="72" t="s">
        <v>960</v>
      </c>
      <c r="C169" s="72"/>
      <c r="D169" s="106">
        <f>H169/I169</f>
        <v>0</v>
      </c>
      <c r="E169" s="458"/>
      <c r="F169" s="115" t="s">
        <v>820</v>
      </c>
      <c r="G169" s="108" t="s">
        <v>961</v>
      </c>
      <c r="H169" s="109">
        <f>SUM(H170:H174)</f>
        <v>0</v>
      </c>
      <c r="I169" s="654">
        <f>SUM(E170:E174)</f>
        <v>6.5</v>
      </c>
    </row>
    <row r="170" spans="1:9" ht="24">
      <c r="A170" s="93" t="s">
        <v>963</v>
      </c>
      <c r="B170" s="72"/>
      <c r="C170" s="6" t="s">
        <v>861</v>
      </c>
      <c r="D170" s="452">
        <f>'7. WUA'!$C$97</f>
        <v>0</v>
      </c>
      <c r="E170" s="458">
        <v>2.5</v>
      </c>
      <c r="F170" s="115" t="s">
        <v>821</v>
      </c>
      <c r="G170" s="108"/>
      <c r="H170" s="109">
        <f>D170*E170</f>
        <v>0</v>
      </c>
      <c r="I170" s="109"/>
    </row>
    <row r="171" spans="1:9" ht="24">
      <c r="A171" s="93" t="s">
        <v>964</v>
      </c>
      <c r="B171" s="72"/>
      <c r="C171" s="6" t="s">
        <v>969</v>
      </c>
      <c r="D171" s="452">
        <f>'7. WUA'!$C$98</f>
        <v>0</v>
      </c>
      <c r="E171" s="458">
        <v>1</v>
      </c>
      <c r="F171" s="115" t="s">
        <v>822</v>
      </c>
      <c r="G171" s="108"/>
      <c r="H171" s="109">
        <f>D171*E171</f>
        <v>0</v>
      </c>
      <c r="I171" s="109"/>
    </row>
    <row r="172" spans="1:9" ht="12.75">
      <c r="A172" s="93" t="s">
        <v>965</v>
      </c>
      <c r="B172" s="72"/>
      <c r="C172" s="6" t="s">
        <v>970</v>
      </c>
      <c r="D172" s="452">
        <f>'7. WUA'!$C$104</f>
        <v>0</v>
      </c>
      <c r="E172" s="458">
        <v>1</v>
      </c>
      <c r="F172" s="115" t="s">
        <v>823</v>
      </c>
      <c r="G172" s="108"/>
      <c r="H172" s="109">
        <f>D172*E172</f>
        <v>0</v>
      </c>
      <c r="I172" s="109"/>
    </row>
    <row r="173" spans="1:9" ht="12.75">
      <c r="A173" s="93" t="s">
        <v>966</v>
      </c>
      <c r="B173" s="72"/>
      <c r="C173" s="6" t="s">
        <v>971</v>
      </c>
      <c r="D173" s="452">
        <f>'7. WUA'!$C$110</f>
        <v>0</v>
      </c>
      <c r="E173" s="458">
        <v>1</v>
      </c>
      <c r="F173" s="115" t="s">
        <v>824</v>
      </c>
      <c r="G173" s="108"/>
      <c r="H173" s="109">
        <f>D173*E173</f>
        <v>0</v>
      </c>
      <c r="I173" s="112"/>
    </row>
    <row r="174" spans="1:9" ht="12.75">
      <c r="A174" s="93" t="s">
        <v>967</v>
      </c>
      <c r="B174" s="72"/>
      <c r="C174" s="6" t="s">
        <v>972</v>
      </c>
      <c r="D174" s="452">
        <f>'7. WUA'!$C$116</f>
        <v>0</v>
      </c>
      <c r="E174" s="458">
        <v>1</v>
      </c>
      <c r="F174" s="115" t="s">
        <v>968</v>
      </c>
      <c r="G174" s="108"/>
      <c r="H174" s="110">
        <f>D174*E174</f>
        <v>0</v>
      </c>
      <c r="I174" s="116"/>
    </row>
    <row r="175" spans="1:9" ht="29.25" customHeight="1">
      <c r="A175" s="93" t="s">
        <v>980</v>
      </c>
      <c r="B175" s="72" t="s">
        <v>973</v>
      </c>
      <c r="C175" s="6" t="s">
        <v>977</v>
      </c>
      <c r="D175" s="453" t="e">
        <f>'5. Project Office Questions'!$C$217</f>
        <v>#DIV/0!</v>
      </c>
      <c r="E175" s="458"/>
      <c r="F175" s="115" t="s">
        <v>962</v>
      </c>
      <c r="G175" s="108" t="s">
        <v>1177</v>
      </c>
      <c r="H175" s="112"/>
      <c r="I175" s="112"/>
    </row>
    <row r="176" spans="1:9" ht="34.5">
      <c r="A176" s="93" t="s">
        <v>981</v>
      </c>
      <c r="B176" s="72" t="s">
        <v>978</v>
      </c>
      <c r="C176" s="7" t="s">
        <v>975</v>
      </c>
      <c r="D176" s="453">
        <f>'5. Project Office Questions'!$C$125</f>
        <v>0</v>
      </c>
      <c r="E176" s="458"/>
      <c r="F176" s="115" t="s">
        <v>981</v>
      </c>
      <c r="G176" s="108" t="s">
        <v>1177</v>
      </c>
      <c r="H176" s="112"/>
      <c r="I176" s="112"/>
    </row>
    <row r="177" spans="1:9" ht="27.75" customHeight="1">
      <c r="A177" s="93" t="s">
        <v>982</v>
      </c>
      <c r="B177" s="72" t="s">
        <v>979</v>
      </c>
      <c r="C177" s="7" t="s">
        <v>974</v>
      </c>
      <c r="D177" s="453">
        <f>'5. Project Office Questions'!$C$119</f>
        <v>0</v>
      </c>
      <c r="E177" s="458"/>
      <c r="F177" s="115" t="s">
        <v>982</v>
      </c>
      <c r="G177" s="108" t="s">
        <v>1177</v>
      </c>
      <c r="H177" s="112"/>
      <c r="I177" s="112"/>
    </row>
    <row r="178" spans="1:9" ht="12.75">
      <c r="A178" s="88"/>
      <c r="B178" s="88"/>
      <c r="C178" s="88"/>
      <c r="D178" s="398"/>
      <c r="E178" s="457"/>
      <c r="F178" s="105"/>
      <c r="G178" s="111"/>
      <c r="H178" s="112"/>
      <c r="I178" s="112"/>
    </row>
    <row r="179" spans="1:9" ht="51">
      <c r="A179" s="93"/>
      <c r="B179" s="95" t="s">
        <v>983</v>
      </c>
      <c r="C179" s="95" t="s">
        <v>364</v>
      </c>
      <c r="D179" s="451"/>
      <c r="E179" s="458"/>
      <c r="F179" s="115"/>
      <c r="G179" s="117"/>
      <c r="H179" s="112"/>
      <c r="I179" s="112"/>
    </row>
    <row r="180" spans="1:9" ht="71.25" customHeight="1" thickBot="1">
      <c r="A180" s="93" t="s">
        <v>984</v>
      </c>
      <c r="B180" s="477" t="s">
        <v>985</v>
      </c>
      <c r="C180" s="96"/>
      <c r="D180" s="454">
        <f>H180/I180</f>
        <v>0</v>
      </c>
      <c r="E180" s="458"/>
      <c r="F180" s="115" t="s">
        <v>948</v>
      </c>
      <c r="G180" s="108" t="s">
        <v>217</v>
      </c>
      <c r="H180" s="109">
        <f>SUM(H181:H183)</f>
        <v>0</v>
      </c>
      <c r="I180" s="109">
        <v>3</v>
      </c>
    </row>
    <row r="181" spans="1:9" ht="51.75" thickBot="1">
      <c r="A181" s="62" t="s">
        <v>1304</v>
      </c>
      <c r="B181" s="478" t="s">
        <v>986</v>
      </c>
      <c r="C181" s="81" t="s">
        <v>1007</v>
      </c>
      <c r="D181" s="481"/>
      <c r="E181" s="459">
        <v>1</v>
      </c>
      <c r="F181" s="118" t="s">
        <v>945</v>
      </c>
      <c r="G181" s="119" t="s">
        <v>217</v>
      </c>
      <c r="H181" s="109">
        <f>D181*E181</f>
        <v>0</v>
      </c>
      <c r="I181" s="109"/>
    </row>
    <row r="182" spans="1:9" ht="39" thickBot="1">
      <c r="A182" s="62" t="s">
        <v>1305</v>
      </c>
      <c r="B182" s="478" t="s">
        <v>987</v>
      </c>
      <c r="C182" s="70" t="s">
        <v>1302</v>
      </c>
      <c r="D182" s="481"/>
      <c r="E182" s="459">
        <v>1</v>
      </c>
      <c r="F182" s="118" t="s">
        <v>946</v>
      </c>
      <c r="G182" s="119" t="s">
        <v>217</v>
      </c>
      <c r="H182" s="109">
        <f>D182*E182</f>
        <v>0</v>
      </c>
      <c r="I182" s="109"/>
    </row>
    <row r="183" spans="1:9" ht="39" thickBot="1">
      <c r="A183" s="74" t="s">
        <v>1306</v>
      </c>
      <c r="B183" s="479" t="s">
        <v>1006</v>
      </c>
      <c r="C183" s="70" t="s">
        <v>1303</v>
      </c>
      <c r="D183" s="481"/>
      <c r="E183" s="459">
        <v>1</v>
      </c>
      <c r="F183" s="118" t="s">
        <v>947</v>
      </c>
      <c r="G183" s="120" t="s">
        <v>217</v>
      </c>
      <c r="H183" s="110">
        <f>D183*E183</f>
        <v>0</v>
      </c>
      <c r="I183" s="110"/>
    </row>
    <row r="184" spans="1:9" ht="51.75" thickBot="1">
      <c r="A184" s="62" t="s">
        <v>1307</v>
      </c>
      <c r="B184" s="480" t="s">
        <v>215</v>
      </c>
      <c r="D184" s="455">
        <f>H184/I184</f>
        <v>0</v>
      </c>
      <c r="E184" s="460"/>
      <c r="F184" s="118" t="s">
        <v>953</v>
      </c>
      <c r="G184" s="119" t="s">
        <v>217</v>
      </c>
      <c r="H184" s="109">
        <f>SUM(H185:H186)</f>
        <v>0</v>
      </c>
      <c r="I184" s="109">
        <v>2</v>
      </c>
    </row>
    <row r="185" spans="1:9" ht="77.25" thickBot="1">
      <c r="A185" s="93" t="s">
        <v>1308</v>
      </c>
      <c r="B185" s="476" t="s">
        <v>1113</v>
      </c>
      <c r="C185" s="71" t="s">
        <v>1313</v>
      </c>
      <c r="D185" s="481"/>
      <c r="E185" s="461">
        <v>1</v>
      </c>
      <c r="F185" s="118" t="s">
        <v>954</v>
      </c>
      <c r="G185" s="119" t="s">
        <v>1311</v>
      </c>
      <c r="H185" s="109">
        <f>D185*E185</f>
        <v>0</v>
      </c>
      <c r="I185" s="109"/>
    </row>
    <row r="186" spans="1:9" ht="102.75" thickBot="1">
      <c r="A186" s="93" t="s">
        <v>1309</v>
      </c>
      <c r="B186" s="476" t="s">
        <v>1312</v>
      </c>
      <c r="C186" s="71" t="s">
        <v>214</v>
      </c>
      <c r="D186" s="482"/>
      <c r="E186" s="461">
        <v>1</v>
      </c>
      <c r="F186" s="118" t="s">
        <v>955</v>
      </c>
      <c r="G186" s="119" t="s">
        <v>1312</v>
      </c>
      <c r="H186" s="112">
        <f>D186*E186</f>
        <v>0</v>
      </c>
      <c r="I186" s="112"/>
    </row>
    <row r="187" spans="1:9" ht="103.5" thickBot="1">
      <c r="A187" s="93" t="s">
        <v>1310</v>
      </c>
      <c r="B187" s="476" t="s">
        <v>216</v>
      </c>
      <c r="C187" s="71" t="s">
        <v>218</v>
      </c>
      <c r="D187" s="481"/>
      <c r="E187" s="461"/>
      <c r="F187" s="118" t="s">
        <v>980</v>
      </c>
      <c r="G187" s="121" t="s">
        <v>217</v>
      </c>
      <c r="H187" s="122"/>
      <c r="I187" s="123"/>
    </row>
    <row r="188" spans="1:7" ht="12.75">
      <c r="A188" s="90"/>
      <c r="B188" s="90"/>
      <c r="C188" s="90"/>
      <c r="D188" s="642"/>
      <c r="E188" s="398"/>
      <c r="F188" s="105"/>
      <c r="G188" s="105"/>
    </row>
    <row r="189" spans="3:7" ht="29.25" customHeight="1">
      <c r="C189" s="637" t="s">
        <v>737</v>
      </c>
      <c r="D189" s="373"/>
      <c r="E189" s="638"/>
      <c r="F189" s="639"/>
      <c r="G189" s="640"/>
    </row>
    <row r="190" spans="1:7" ht="22.5">
      <c r="A190" s="62" t="s">
        <v>893</v>
      </c>
      <c r="B190" s="61" t="s">
        <v>891</v>
      </c>
      <c r="C190" s="61" t="s">
        <v>892</v>
      </c>
      <c r="D190" s="158">
        <f>'11. Final deliveries'!C8</f>
        <v>0</v>
      </c>
      <c r="E190" s="638"/>
      <c r="F190" s="639"/>
      <c r="G190" s="641" t="s">
        <v>178</v>
      </c>
    </row>
    <row r="191" spans="1:7" ht="22.5">
      <c r="A191" s="62" t="s">
        <v>894</v>
      </c>
      <c r="B191" s="61" t="s">
        <v>895</v>
      </c>
      <c r="C191" s="61" t="s">
        <v>896</v>
      </c>
      <c r="D191" s="373" t="e">
        <f>'5. Project Office Questions'!C216</f>
        <v>#DIV/0!</v>
      </c>
      <c r="E191" s="638"/>
      <c r="F191" s="639"/>
      <c r="G191" s="641" t="s">
        <v>897</v>
      </c>
    </row>
    <row r="192" spans="1:7" ht="12.75">
      <c r="A192" s="62" t="s">
        <v>898</v>
      </c>
      <c r="B192" s="61" t="s">
        <v>899</v>
      </c>
      <c r="C192" s="61" t="s">
        <v>904</v>
      </c>
      <c r="D192" s="372" t="e">
        <f>D43/D48</f>
        <v>#DIV/0!</v>
      </c>
      <c r="E192" s="638"/>
      <c r="F192" s="639"/>
      <c r="G192" s="640"/>
    </row>
    <row r="193" spans="1:7" ht="25.5">
      <c r="A193" s="62" t="s">
        <v>900</v>
      </c>
      <c r="B193" s="61" t="s">
        <v>901</v>
      </c>
      <c r="C193" s="61" t="s">
        <v>736</v>
      </c>
      <c r="D193" s="372" t="e">
        <f>D31/D37</f>
        <v>#DIV/0!</v>
      </c>
      <c r="E193" s="638"/>
      <c r="F193" s="639"/>
      <c r="G193" s="640"/>
    </row>
    <row r="194" spans="1:7" ht="12.75">
      <c r="A194" s="62" t="s">
        <v>902</v>
      </c>
      <c r="B194" s="61" t="s">
        <v>903</v>
      </c>
      <c r="C194" s="61" t="s">
        <v>905</v>
      </c>
      <c r="D194" s="372" t="e">
        <f>D21/D26</f>
        <v>#DIV/0!</v>
      </c>
      <c r="E194" s="638"/>
      <c r="F194" s="639"/>
      <c r="G194" s="640"/>
    </row>
  </sheetData>
  <mergeCells count="14">
    <mergeCell ref="A16:E16"/>
    <mergeCell ref="A18:E18"/>
    <mergeCell ref="A17:E17"/>
    <mergeCell ref="A12:E12"/>
    <mergeCell ref="A13:E13"/>
    <mergeCell ref="A14:E14"/>
    <mergeCell ref="A15:E15"/>
    <mergeCell ref="A10:E10"/>
    <mergeCell ref="A11:E11"/>
    <mergeCell ref="B3:C3"/>
    <mergeCell ref="B5:C5"/>
    <mergeCell ref="A7:E7"/>
    <mergeCell ref="A8:E8"/>
    <mergeCell ref="A9:E9"/>
  </mergeCells>
  <printOptions headings="1"/>
  <pageMargins left="0.75" right="0.75" top="1" bottom="1" header="0.5" footer="0.5"/>
  <pageSetup fitToHeight="0" fitToWidth="1" horizontalDpi="600" verticalDpi="600" orientation="portrait" scale="72" r:id="rId1"/>
  <headerFooter alignWithMargins="0">
    <oddHeader>&amp;C&amp;F</oddHeader>
    <oddFooter>&amp;LFAO/WB/Cal Poly ITRC&amp;C&amp;A&amp;RPage &amp;P</oddFooter>
  </headerFooter>
  <rowBreaks count="6" manualBreakCount="6">
    <brk id="36" max="6" man="1"/>
    <brk id="63" max="6" man="1"/>
    <brk id="90" max="6" man="1"/>
    <brk id="117" max="6" man="1"/>
    <brk id="150" max="6" man="1"/>
    <brk id="178" max="6" man="1"/>
  </rowBreaks>
</worksheet>
</file>

<file path=xl/worksheets/sheet11.xml><?xml version="1.0" encoding="utf-8"?>
<worksheet xmlns="http://schemas.openxmlformats.org/spreadsheetml/2006/main" xmlns:r="http://schemas.openxmlformats.org/officeDocument/2006/relationships">
  <sheetPr>
    <pageSetUpPr fitToPage="1"/>
  </sheetPr>
  <dimension ref="A1:G75"/>
  <sheetViews>
    <sheetView workbookViewId="0" topLeftCell="B1">
      <selection activeCell="D1" sqref="D1"/>
    </sheetView>
  </sheetViews>
  <sheetFormatPr defaultColWidth="9.140625" defaultRowHeight="12.75"/>
  <cols>
    <col min="2" max="2" width="15.7109375" style="0" customWidth="1"/>
    <col min="3" max="3" width="76.28125" style="0" customWidth="1"/>
  </cols>
  <sheetData>
    <row r="1" spans="1:3" ht="12.75">
      <c r="A1" s="320" t="s">
        <v>671</v>
      </c>
      <c r="B1" s="652">
        <f>'5. Project Office Questions'!$B$3</f>
        <v>0</v>
      </c>
      <c r="C1" s="320"/>
    </row>
    <row r="2" spans="1:3" ht="12.75">
      <c r="A2" s="320" t="s">
        <v>672</v>
      </c>
      <c r="B2" s="653">
        <f>'5. Project Office Questions'!$B$5</f>
        <v>0</v>
      </c>
      <c r="C2" s="320"/>
    </row>
    <row r="3" spans="1:3" ht="12.75">
      <c r="A3" s="320"/>
      <c r="B3" s="320"/>
      <c r="C3" s="320"/>
    </row>
    <row r="4" spans="1:7" ht="12.75">
      <c r="A4" s="93"/>
      <c r="B4" s="160" t="s">
        <v>1228</v>
      </c>
      <c r="C4" s="72"/>
      <c r="D4" s="62"/>
      <c r="E4" s="62"/>
      <c r="F4" s="63"/>
      <c r="G4" s="73"/>
    </row>
    <row r="5" spans="1:7" ht="12.75">
      <c r="A5" s="93"/>
      <c r="B5" s="160" t="s">
        <v>1148</v>
      </c>
      <c r="C5" s="72"/>
      <c r="D5" s="62"/>
      <c r="E5" s="62"/>
      <c r="F5" s="63"/>
      <c r="G5" s="73"/>
    </row>
    <row r="6" spans="1:7" ht="12.75">
      <c r="A6" s="93"/>
      <c r="B6" s="161" t="s">
        <v>1229</v>
      </c>
      <c r="C6" s="72"/>
      <c r="D6" s="62"/>
      <c r="E6" s="62"/>
      <c r="F6" s="63"/>
      <c r="G6" s="73"/>
    </row>
    <row r="7" spans="1:7" ht="27.75" customHeight="1">
      <c r="A7" s="93"/>
      <c r="B7" s="763" t="s">
        <v>78</v>
      </c>
      <c r="C7" s="764"/>
      <c r="D7" s="62"/>
      <c r="E7" s="62"/>
      <c r="F7" s="63"/>
      <c r="G7" s="73"/>
    </row>
    <row r="8" spans="1:7" ht="16.5" customHeight="1">
      <c r="A8" s="93"/>
      <c r="B8" s="763" t="s">
        <v>666</v>
      </c>
      <c r="C8" s="764"/>
      <c r="D8" s="62"/>
      <c r="E8" s="62"/>
      <c r="F8" s="63"/>
      <c r="G8" s="73"/>
    </row>
    <row r="9" spans="1:7" ht="12.75">
      <c r="A9" s="93"/>
      <c r="B9" s="161"/>
      <c r="C9" s="72"/>
      <c r="D9" s="62"/>
      <c r="E9" s="62"/>
      <c r="F9" s="63"/>
      <c r="G9" s="73"/>
    </row>
    <row r="10" spans="1:7" ht="12.75">
      <c r="A10" s="62"/>
      <c r="B10" s="155" t="s">
        <v>1279</v>
      </c>
      <c r="C10" s="155" t="s">
        <v>1149</v>
      </c>
      <c r="D10" s="62"/>
      <c r="E10" s="62"/>
      <c r="F10" s="63"/>
      <c r="G10" s="73"/>
    </row>
    <row r="11" spans="1:7" ht="38.25">
      <c r="A11" s="78" t="s">
        <v>1226</v>
      </c>
      <c r="B11" s="364">
        <f>'4. External Indicators'!$D$29</f>
        <v>0</v>
      </c>
      <c r="C11" s="156" t="s">
        <v>1054</v>
      </c>
      <c r="D11" s="62"/>
      <c r="E11" s="62"/>
      <c r="F11" s="63"/>
      <c r="G11" s="73"/>
    </row>
    <row r="12" spans="1:7" ht="25.5">
      <c r="A12" s="78" t="s">
        <v>1225</v>
      </c>
      <c r="B12" s="364">
        <f>'4. External Indicators'!$D$11</f>
        <v>0</v>
      </c>
      <c r="C12" s="156" t="s">
        <v>1143</v>
      </c>
      <c r="D12" s="62"/>
      <c r="E12" s="62"/>
      <c r="F12" s="63"/>
      <c r="G12" s="73"/>
    </row>
    <row r="13" spans="1:7" s="737" customFormat="1" ht="12.75">
      <c r="A13" s="732"/>
      <c r="B13" s="364" t="e">
        <f>'1. Input - Water Balance'!F161</f>
        <v>#DIV/0!</v>
      </c>
      <c r="C13" s="733" t="s">
        <v>417</v>
      </c>
      <c r="D13" s="734"/>
      <c r="E13" s="734"/>
      <c r="F13" s="735"/>
      <c r="G13" s="736"/>
    </row>
    <row r="14" spans="1:7" s="737" customFormat="1" ht="25.5">
      <c r="A14" s="732"/>
      <c r="B14" s="364" t="e">
        <f>B12+B13</f>
        <v>#DIV/0!</v>
      </c>
      <c r="C14" s="733" t="s">
        <v>418</v>
      </c>
      <c r="D14" s="734"/>
      <c r="E14" s="734"/>
      <c r="F14" s="735"/>
      <c r="G14" s="736"/>
    </row>
    <row r="15" spans="1:7" ht="12.75">
      <c r="A15" s="78" t="s">
        <v>1224</v>
      </c>
      <c r="B15" s="364">
        <f>'4. External Indicators'!$D$7</f>
        <v>0</v>
      </c>
      <c r="C15" s="156" t="s">
        <v>421</v>
      </c>
      <c r="D15" s="62"/>
      <c r="E15" s="62"/>
      <c r="F15" s="63"/>
      <c r="G15" s="73"/>
    </row>
    <row r="16" spans="1:7" ht="12.75">
      <c r="A16" s="78" t="s">
        <v>1223</v>
      </c>
      <c r="B16" s="364">
        <f>'4. External Indicators'!$D$8</f>
        <v>0</v>
      </c>
      <c r="C16" s="156" t="s">
        <v>420</v>
      </c>
      <c r="D16" s="62"/>
      <c r="E16" s="62"/>
      <c r="F16" s="63"/>
      <c r="G16" s="73"/>
    </row>
    <row r="17" spans="1:7" s="737" customFormat="1" ht="14.25">
      <c r="A17" s="732"/>
      <c r="B17" s="364" t="e">
        <f>B14/B15*1000000</f>
        <v>#DIV/0!</v>
      </c>
      <c r="C17" s="733" t="s">
        <v>1051</v>
      </c>
      <c r="D17" s="734"/>
      <c r="E17" s="734"/>
      <c r="F17" s="735"/>
      <c r="G17" s="736"/>
    </row>
    <row r="18" spans="1:7" s="737" customFormat="1" ht="14.25">
      <c r="A18" s="732"/>
      <c r="B18" s="364" t="e">
        <f>B14/B16*1000000</f>
        <v>#DIV/0!</v>
      </c>
      <c r="C18" s="733" t="s">
        <v>422</v>
      </c>
      <c r="D18" s="734"/>
      <c r="E18" s="734"/>
      <c r="F18" s="735"/>
      <c r="G18" s="736"/>
    </row>
    <row r="19" spans="1:7" ht="25.5">
      <c r="A19" s="78" t="s">
        <v>1222</v>
      </c>
      <c r="B19" s="364" t="e">
        <f>'4. External Indicators'!$D$15</f>
        <v>#DIV/0!</v>
      </c>
      <c r="C19" s="156" t="s">
        <v>419</v>
      </c>
      <c r="D19" s="62"/>
      <c r="E19" s="62"/>
      <c r="F19" s="63"/>
      <c r="G19" s="73"/>
    </row>
    <row r="20" spans="1:7" ht="12.75">
      <c r="A20" s="78" t="s">
        <v>1221</v>
      </c>
      <c r="B20" s="364">
        <f>'4. External Indicators'!$D$39</f>
        <v>0</v>
      </c>
      <c r="C20" s="156" t="s">
        <v>1144</v>
      </c>
      <c r="D20" s="62"/>
      <c r="E20" s="62"/>
      <c r="F20" s="63"/>
      <c r="G20" s="73"/>
    </row>
    <row r="21" spans="1:7" ht="12.75">
      <c r="A21" s="78" t="s">
        <v>1220</v>
      </c>
      <c r="B21" s="364" t="e">
        <f>'4. External Indicators'!$D$42</f>
        <v>#DIV/0!</v>
      </c>
      <c r="C21" s="156" t="s">
        <v>1145</v>
      </c>
      <c r="D21" s="62"/>
      <c r="E21" s="62"/>
      <c r="F21" s="63"/>
      <c r="G21" s="73"/>
    </row>
    <row r="22" spans="1:7" ht="18" customHeight="1">
      <c r="A22" s="78" t="s">
        <v>1219</v>
      </c>
      <c r="B22" s="364">
        <f>'5. Project Office Questions'!C33</f>
        <v>0</v>
      </c>
      <c r="C22" s="156" t="s">
        <v>1196</v>
      </c>
      <c r="D22" s="62"/>
      <c r="E22" s="62"/>
      <c r="F22" s="63"/>
      <c r="G22" s="73"/>
    </row>
    <row r="23" spans="1:7" ht="15" customHeight="1">
      <c r="A23" s="78" t="s">
        <v>1219</v>
      </c>
      <c r="B23" s="364">
        <f>'5. Project Office Questions'!C34</f>
        <v>0</v>
      </c>
      <c r="C23" s="156" t="s">
        <v>790</v>
      </c>
      <c r="D23" s="62"/>
      <c r="E23" s="62"/>
      <c r="F23" s="63"/>
      <c r="G23" s="73"/>
    </row>
    <row r="24" spans="1:7" ht="13.5" customHeight="1">
      <c r="A24" s="78" t="s">
        <v>1218</v>
      </c>
      <c r="B24" s="364">
        <f>'5. Project Office Questions'!C35</f>
        <v>0</v>
      </c>
      <c r="C24" s="156" t="s">
        <v>791</v>
      </c>
      <c r="D24" s="62"/>
      <c r="E24" s="62"/>
      <c r="F24" s="63"/>
      <c r="G24" s="73"/>
    </row>
    <row r="25" spans="1:7" ht="15.75" customHeight="1">
      <c r="A25" s="78" t="s">
        <v>1217</v>
      </c>
      <c r="B25" s="364">
        <f>('7. WUA'!$C$86+'7. WUA'!$C$88+'7. WUA'!$C$89+'7. WUA'!$C$90+'7. WUA'!$C$91)*'5. Project Office Questions'!$C$44</f>
        <v>0</v>
      </c>
      <c r="C25" s="156" t="s">
        <v>1150</v>
      </c>
      <c r="D25" s="62"/>
      <c r="E25" s="62"/>
      <c r="F25" s="63"/>
      <c r="G25" s="73"/>
    </row>
    <row r="26" spans="1:7" ht="17.25" customHeight="1">
      <c r="A26" s="78" t="s">
        <v>1216</v>
      </c>
      <c r="B26" s="364">
        <f>('7. WUA'!C44-'7. WUA'!C43+'5. Project Office Questions'!C58)*'5. Project Office Questions'!$C$44</f>
        <v>0</v>
      </c>
      <c r="C26" s="156" t="s">
        <v>1151</v>
      </c>
      <c r="D26" s="62"/>
      <c r="E26" s="62"/>
      <c r="F26" s="63"/>
      <c r="G26" s="73"/>
    </row>
    <row r="27" spans="1:7" ht="15" customHeight="1">
      <c r="A27" s="78" t="s">
        <v>1215</v>
      </c>
      <c r="B27" s="364">
        <f>('7. WUA'!C39+'5. Project Office Questions'!C54)*'5. Project Office Questions'!C44</f>
        <v>0</v>
      </c>
      <c r="C27" s="156" t="s">
        <v>792</v>
      </c>
      <c r="D27" s="62"/>
      <c r="E27" s="62"/>
      <c r="F27" s="63"/>
      <c r="G27" s="73"/>
    </row>
    <row r="28" spans="1:7" ht="15" customHeight="1">
      <c r="A28" s="78"/>
      <c r="B28" s="364">
        <f>'7. WUA'!C55+'5. Project Office Questions'!C71</f>
        <v>0</v>
      </c>
      <c r="C28" s="156" t="s">
        <v>407</v>
      </c>
      <c r="D28" s="62"/>
      <c r="E28" s="62"/>
      <c r="F28" s="63"/>
      <c r="G28" s="73"/>
    </row>
    <row r="29" spans="1:7" ht="15" customHeight="1">
      <c r="A29" s="78" t="s">
        <v>1214</v>
      </c>
      <c r="B29" s="364">
        <f>('7. WUA'!C37+'5. Project Office Questions'!C52)*'5. Project Office Questions'!C44</f>
        <v>0</v>
      </c>
      <c r="C29" s="156" t="s">
        <v>793</v>
      </c>
      <c r="D29" s="62"/>
      <c r="E29" s="62"/>
      <c r="F29" s="63"/>
      <c r="G29" s="73"/>
    </row>
    <row r="30" spans="1:7" ht="15.75" customHeight="1">
      <c r="A30" s="78" t="s">
        <v>1213</v>
      </c>
      <c r="B30" s="364">
        <f>'7. WUA'!C57+'5. Project Office Questions'!C73</f>
        <v>0</v>
      </c>
      <c r="C30" s="156" t="s">
        <v>406</v>
      </c>
      <c r="D30" s="62"/>
      <c r="E30" s="62"/>
      <c r="F30" s="63"/>
      <c r="G30" s="73"/>
    </row>
    <row r="31" spans="1:7" ht="15" customHeight="1">
      <c r="A31" s="78" t="s">
        <v>1212</v>
      </c>
      <c r="B31" s="424" t="e">
        <f>(('7. WUA'!C86*100/'7. WUA'!C69)+('7. WUA'!C92))*'5. Project Office Questions'!C44</f>
        <v>#DIV/0!</v>
      </c>
      <c r="C31" s="156" t="s">
        <v>1014</v>
      </c>
      <c r="D31" s="62"/>
      <c r="E31" s="62"/>
      <c r="F31" s="63"/>
      <c r="G31" s="73"/>
    </row>
    <row r="32" spans="1:7" ht="13.5" customHeight="1">
      <c r="A32" s="78" t="s">
        <v>1211</v>
      </c>
      <c r="B32" s="80" t="s">
        <v>1020</v>
      </c>
      <c r="C32" s="156" t="s">
        <v>1147</v>
      </c>
      <c r="D32" s="62"/>
      <c r="E32" s="62"/>
      <c r="F32" s="63"/>
      <c r="G32" s="73"/>
    </row>
    <row r="33" spans="1:7" ht="14.25" customHeight="1">
      <c r="A33" s="78" t="s">
        <v>1210</v>
      </c>
      <c r="B33" s="154">
        <f>'4. External Indicators'!$D$51</f>
        <v>0</v>
      </c>
      <c r="C33" s="156" t="s">
        <v>1146</v>
      </c>
      <c r="D33" s="62"/>
      <c r="E33" s="62"/>
      <c r="F33" s="63"/>
      <c r="G33" s="73"/>
    </row>
    <row r="34" spans="1:7" ht="12.75" customHeight="1">
      <c r="A34" s="78" t="s">
        <v>1209</v>
      </c>
      <c r="B34" s="104">
        <f>'4. External Indicators'!$D$33</f>
        <v>0</v>
      </c>
      <c r="C34" s="156" t="s">
        <v>685</v>
      </c>
      <c r="D34" s="62"/>
      <c r="E34" s="62"/>
      <c r="F34" s="63"/>
      <c r="G34" s="73"/>
    </row>
    <row r="35" spans="1:7" ht="14.25" customHeight="1">
      <c r="A35" s="78" t="s">
        <v>1208</v>
      </c>
      <c r="B35" s="704">
        <f>'5. Project Office Questions'!C220</f>
        <v>0</v>
      </c>
      <c r="C35" s="156" t="s">
        <v>1015</v>
      </c>
      <c r="D35" s="62"/>
      <c r="E35" s="62"/>
      <c r="F35" s="63"/>
      <c r="G35" s="73"/>
    </row>
    <row r="36" spans="1:7" ht="15.75" customHeight="1">
      <c r="A36" s="78" t="s">
        <v>1208</v>
      </c>
      <c r="B36" s="704">
        <f>'5. Project Office Questions'!C221</f>
        <v>0</v>
      </c>
      <c r="C36" s="156" t="s">
        <v>1016</v>
      </c>
      <c r="D36" s="62"/>
      <c r="E36" s="62"/>
      <c r="F36" s="63"/>
      <c r="G36" s="73"/>
    </row>
    <row r="37" spans="1:7" ht="15.75" customHeight="1">
      <c r="A37" s="78" t="s">
        <v>279</v>
      </c>
      <c r="B37" s="704">
        <f>'5. Project Office Questions'!C226</f>
        <v>0</v>
      </c>
      <c r="C37" s="157" t="s">
        <v>1200</v>
      </c>
      <c r="D37" s="62"/>
      <c r="E37" s="62"/>
      <c r="F37" s="63"/>
      <c r="G37" s="73"/>
    </row>
    <row r="38" spans="1:7" ht="17.25" customHeight="1">
      <c r="A38" s="78" t="s">
        <v>279</v>
      </c>
      <c r="B38" s="704">
        <f>'5. Project Office Questions'!C227</f>
        <v>0</v>
      </c>
      <c r="C38" s="157" t="s">
        <v>1199</v>
      </c>
      <c r="D38" s="62"/>
      <c r="E38" s="62"/>
      <c r="F38" s="63"/>
      <c r="G38" s="73"/>
    </row>
    <row r="39" spans="1:7" ht="15.75" customHeight="1">
      <c r="A39" s="78" t="s">
        <v>1207</v>
      </c>
      <c r="B39" s="704">
        <f>'5. Project Office Questions'!C224</f>
        <v>0</v>
      </c>
      <c r="C39" s="157" t="s">
        <v>1197</v>
      </c>
      <c r="D39" s="62"/>
      <c r="E39" s="62"/>
      <c r="F39" s="63"/>
      <c r="G39" s="73"/>
    </row>
    <row r="40" spans="1:7" ht="15" customHeight="1">
      <c r="A40" s="78" t="s">
        <v>1207</v>
      </c>
      <c r="B40" s="704">
        <f>'5. Project Office Questions'!C225</f>
        <v>0</v>
      </c>
      <c r="C40" s="157" t="s">
        <v>1198</v>
      </c>
      <c r="D40" s="62"/>
      <c r="E40" s="62"/>
      <c r="F40" s="63"/>
      <c r="G40" s="73"/>
    </row>
    <row r="41" spans="1:7" ht="14.25" customHeight="1">
      <c r="A41" s="78" t="s">
        <v>1206</v>
      </c>
      <c r="B41" s="704">
        <f>'5. Project Office Questions'!$C$223</f>
        <v>0</v>
      </c>
      <c r="C41" s="157" t="s">
        <v>361</v>
      </c>
      <c r="D41" s="62"/>
      <c r="E41" s="62"/>
      <c r="F41" s="63"/>
      <c r="G41" s="73"/>
    </row>
    <row r="42" spans="1:7" ht="13.5" customHeight="1">
      <c r="A42" s="78" t="s">
        <v>1205</v>
      </c>
      <c r="B42" s="704">
        <f>'5. Project Office Questions'!$C$222</f>
        <v>0</v>
      </c>
      <c r="C42" s="157" t="s">
        <v>360</v>
      </c>
      <c r="D42" s="62"/>
      <c r="E42" s="62"/>
      <c r="F42" s="63"/>
      <c r="G42" s="73"/>
    </row>
    <row r="43" spans="1:7" ht="39" customHeight="1">
      <c r="A43" s="78" t="s">
        <v>280</v>
      </c>
      <c r="B43" s="97" t="s">
        <v>1018</v>
      </c>
      <c r="C43" s="79" t="s">
        <v>1017</v>
      </c>
      <c r="D43" s="62"/>
      <c r="E43" s="62"/>
      <c r="F43" s="63"/>
      <c r="G43" s="73"/>
    </row>
    <row r="44" spans="1:7" ht="18.75" customHeight="1">
      <c r="A44" s="643" t="s">
        <v>936</v>
      </c>
      <c r="B44" s="104" t="e">
        <f>'4. External Indicators'!$D$14</f>
        <v>#DIV/0!</v>
      </c>
      <c r="C44" s="644" t="s">
        <v>1203</v>
      </c>
      <c r="D44" s="62"/>
      <c r="E44" s="62"/>
      <c r="F44" s="63"/>
      <c r="G44" s="73"/>
    </row>
    <row r="45" spans="1:7" ht="18.75" customHeight="1">
      <c r="A45" s="643" t="s">
        <v>937</v>
      </c>
      <c r="B45" s="104">
        <f>'4. External Indicators'!$D$34</f>
        <v>0</v>
      </c>
      <c r="C45" s="644" t="s">
        <v>1204</v>
      </c>
      <c r="D45" s="62"/>
      <c r="E45" s="62"/>
      <c r="F45" s="63"/>
      <c r="G45" s="73"/>
    </row>
    <row r="46" spans="1:7" ht="18.75" customHeight="1">
      <c r="A46" s="643" t="s">
        <v>739</v>
      </c>
      <c r="B46" s="104" t="e">
        <f>'4. External Indicators'!D47</f>
        <v>#DIV/0!</v>
      </c>
      <c r="C46" s="644" t="s">
        <v>1067</v>
      </c>
      <c r="D46" s="62"/>
      <c r="E46" s="62"/>
      <c r="F46" s="63"/>
      <c r="G46" s="73"/>
    </row>
    <row r="47" spans="1:7" ht="18.75" customHeight="1">
      <c r="A47" s="643" t="s">
        <v>740</v>
      </c>
      <c r="B47" s="104">
        <f>'4. External Indicators'!D26</f>
        <v>0</v>
      </c>
      <c r="C47" s="644" t="s">
        <v>1068</v>
      </c>
      <c r="D47" s="62"/>
      <c r="E47" s="62"/>
      <c r="F47" s="63"/>
      <c r="G47" s="73"/>
    </row>
    <row r="48" spans="1:7" ht="12.75">
      <c r="A48" s="62"/>
      <c r="B48" s="761" t="s">
        <v>735</v>
      </c>
      <c r="C48" s="762"/>
      <c r="D48" s="62"/>
      <c r="E48" s="62"/>
      <c r="F48" s="63"/>
      <c r="G48" s="73"/>
    </row>
    <row r="49" spans="1:7" ht="12.75">
      <c r="A49" s="62"/>
      <c r="B49" s="754"/>
      <c r="C49" s="754"/>
      <c r="D49" s="62"/>
      <c r="E49" s="62"/>
      <c r="F49" s="63"/>
      <c r="G49" s="73"/>
    </row>
    <row r="52" ht="12.75">
      <c r="A52" s="151" t="s">
        <v>1201</v>
      </c>
    </row>
    <row r="53" spans="1:3" ht="30.75" customHeight="1">
      <c r="A53" s="151"/>
      <c r="B53" s="765" t="s">
        <v>1202</v>
      </c>
      <c r="C53" s="766"/>
    </row>
    <row r="54" spans="1:3" ht="18">
      <c r="A54" s="36"/>
      <c r="B54" s="375" t="e">
        <f>(B12+B44/((B46/100)*(B47/100)))*1000000/B15</f>
        <v>#DIV/0!</v>
      </c>
      <c r="C54" s="36" t="s">
        <v>738</v>
      </c>
    </row>
    <row r="55" spans="1:3" ht="18">
      <c r="A55" s="36"/>
      <c r="B55" s="375" t="e">
        <f>(B12+B44/((B46/100)*(B47/100)))*1000000/B16</f>
        <v>#DIV/0!</v>
      </c>
      <c r="C55" s="36" t="s">
        <v>741</v>
      </c>
    </row>
    <row r="56" spans="1:3" ht="12.75">
      <c r="A56" s="36"/>
      <c r="B56" s="158" t="e">
        <f>B11/B12*100</f>
        <v>#DIV/0!</v>
      </c>
      <c r="C56" s="36" t="s">
        <v>686</v>
      </c>
    </row>
    <row r="57" spans="1:3" ht="12.75">
      <c r="A57" s="36"/>
      <c r="B57" s="373" t="e">
        <f>B19/B34</f>
        <v>#DIV/0!</v>
      </c>
      <c r="C57" s="36" t="s">
        <v>281</v>
      </c>
    </row>
    <row r="58" spans="1:3" ht="12.75">
      <c r="A58" s="36"/>
      <c r="B58" s="373" t="e">
        <f>(B12+B44)/B45</f>
        <v>#DIV/0!</v>
      </c>
      <c r="C58" s="36" t="s">
        <v>282</v>
      </c>
    </row>
    <row r="59" spans="1:3" ht="12.75">
      <c r="A59" s="36"/>
      <c r="B59" s="372"/>
      <c r="C59" s="36"/>
    </row>
    <row r="60" spans="1:3" ht="12.75">
      <c r="A60" s="36"/>
      <c r="B60" s="138">
        <f>B24</f>
        <v>0</v>
      </c>
      <c r="C60" s="36" t="s">
        <v>1227</v>
      </c>
    </row>
    <row r="61" spans="1:3" ht="12.75">
      <c r="A61" s="36"/>
      <c r="B61" s="374" t="e">
        <f>B25/B26</f>
        <v>#DIV/0!</v>
      </c>
      <c r="C61" s="36" t="s">
        <v>284</v>
      </c>
    </row>
    <row r="62" spans="1:3" ht="12.75">
      <c r="A62" s="36"/>
      <c r="B62" s="372" t="e">
        <f>B27/B25</f>
        <v>#DIV/0!</v>
      </c>
      <c r="C62" s="36" t="s">
        <v>285</v>
      </c>
    </row>
    <row r="63" spans="1:3" ht="12.75">
      <c r="A63" s="36"/>
      <c r="B63" s="375" t="e">
        <f>B26/B15</f>
        <v>#DIV/0!</v>
      </c>
      <c r="C63" s="36" t="s">
        <v>286</v>
      </c>
    </row>
    <row r="64" spans="1:3" ht="12.75">
      <c r="A64" s="36"/>
      <c r="B64" s="375" t="e">
        <f>B29/B28</f>
        <v>#DIV/0!</v>
      </c>
      <c r="C64" s="36" t="s">
        <v>408</v>
      </c>
    </row>
    <row r="65" spans="1:3" ht="12.75">
      <c r="A65" s="36"/>
      <c r="B65" s="372" t="e">
        <f>B25/B31</f>
        <v>#DIV/0!</v>
      </c>
      <c r="C65" s="36" t="s">
        <v>287</v>
      </c>
    </row>
    <row r="66" spans="1:3" ht="12.75">
      <c r="A66" s="36"/>
      <c r="B66" s="371" t="e">
        <f>B28/B16</f>
        <v>#DIV/0!</v>
      </c>
      <c r="C66" s="36" t="s">
        <v>54</v>
      </c>
    </row>
    <row r="67" spans="1:3" s="737" customFormat="1" ht="12.75">
      <c r="A67" s="685"/>
      <c r="B67" s="372" t="e">
        <f>'5. Project Office Questions'!C216</f>
        <v>#DIV/0!</v>
      </c>
      <c r="C67" s="685" t="s">
        <v>423</v>
      </c>
    </row>
    <row r="68" spans="1:3" s="737" customFormat="1" ht="14.25">
      <c r="A68" s="685"/>
      <c r="B68" s="425"/>
      <c r="C68" s="738" t="s">
        <v>1049</v>
      </c>
    </row>
    <row r="69" spans="1:3" s="737" customFormat="1" ht="14.25">
      <c r="A69" s="685"/>
      <c r="B69" s="425" t="e">
        <f>B26/'4. External Indicators'!C21/1000000</f>
        <v>#DIV/0!</v>
      </c>
      <c r="C69" s="739" t="s">
        <v>1047</v>
      </c>
    </row>
    <row r="70" spans="1:3" s="737" customFormat="1" ht="12.75">
      <c r="A70" s="685"/>
      <c r="B70" s="159">
        <f>B33</f>
        <v>0</v>
      </c>
      <c r="C70" s="685" t="s">
        <v>288</v>
      </c>
    </row>
    <row r="71" spans="1:3" s="737" customFormat="1" ht="12.75">
      <c r="A71" s="685"/>
      <c r="B71" s="375" t="e">
        <f>B33/B15</f>
        <v>#DIV/0!</v>
      </c>
      <c r="C71" s="685" t="s">
        <v>424</v>
      </c>
    </row>
    <row r="72" spans="1:3" s="737" customFormat="1" ht="12.75">
      <c r="A72" s="685"/>
      <c r="B72" s="375" t="e">
        <f>B33/B16</f>
        <v>#DIV/0!</v>
      </c>
      <c r="C72" s="685" t="s">
        <v>425</v>
      </c>
    </row>
    <row r="73" spans="1:3" s="737" customFormat="1" ht="18">
      <c r="A73" s="685"/>
      <c r="B73" s="371" t="e">
        <f>B33/(1000000*(B44*10000/(B47*B46)+B12))</f>
        <v>#DIV/0!</v>
      </c>
      <c r="C73" s="685" t="s">
        <v>687</v>
      </c>
    </row>
    <row r="74" spans="1:3" s="737" customFormat="1" ht="14.25">
      <c r="A74" s="685"/>
      <c r="B74" s="740" t="e">
        <f>B70/B19/1000000</f>
        <v>#DIV/0!</v>
      </c>
      <c r="C74" s="685" t="s">
        <v>688</v>
      </c>
    </row>
    <row r="75" spans="1:3" ht="18">
      <c r="A75" s="36"/>
      <c r="B75" s="371" t="e">
        <f>B33/(B34*1000000)</f>
        <v>#DIV/0!</v>
      </c>
      <c r="C75" s="36" t="s">
        <v>289</v>
      </c>
    </row>
  </sheetData>
  <mergeCells count="4">
    <mergeCell ref="B48:C49"/>
    <mergeCell ref="B8:C8"/>
    <mergeCell ref="B53:C53"/>
    <mergeCell ref="B7:C7"/>
  </mergeCells>
  <printOptions headings="1"/>
  <pageMargins left="1.25" right="0.75" top="1" bottom="1" header="0.5" footer="0.5"/>
  <pageSetup fitToHeight="1" fitToWidth="1" horizontalDpi="600" verticalDpi="600" orientation="portrait" scale="55" r:id="rId1"/>
  <headerFooter alignWithMargins="0">
    <oddHeader>&amp;C&amp;F</oddHeader>
    <oddFooter>&amp;LFAO/WB/Cal Poly ITRC&amp;C&amp;A&amp;RPage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D53"/>
  <sheetViews>
    <sheetView zoomScale="75" zoomScaleNormal="75" workbookViewId="0" topLeftCell="A1">
      <selection activeCell="E1" sqref="E1"/>
    </sheetView>
  </sheetViews>
  <sheetFormatPr defaultColWidth="9.140625" defaultRowHeight="12.75"/>
  <cols>
    <col min="1" max="1" width="4.7109375" style="0" customWidth="1"/>
    <col min="2" max="2" width="70.28125" style="0" customWidth="1"/>
    <col min="3" max="3" width="14.28125" style="62" customWidth="1"/>
    <col min="4" max="4" width="19.00390625" style="62" customWidth="1"/>
  </cols>
  <sheetData>
    <row r="1" spans="2:4" ht="12.75">
      <c r="B1" s="719">
        <f>'1. Input - Water Balance'!C8</f>
        <v>0</v>
      </c>
      <c r="D1" s="62" t="s">
        <v>220</v>
      </c>
    </row>
    <row r="2" spans="3:4" ht="12.75">
      <c r="C2" s="689"/>
      <c r="D2" s="62" t="s">
        <v>642</v>
      </c>
    </row>
    <row r="3" spans="1:3" ht="12.75">
      <c r="A3">
        <v>1</v>
      </c>
      <c r="B3" t="s">
        <v>699</v>
      </c>
      <c r="C3" s="686">
        <f>'1. Input - Water Balance'!C9</f>
        <v>0</v>
      </c>
    </row>
    <row r="4" ht="12.75">
      <c r="A4" s="64" t="s">
        <v>698</v>
      </c>
    </row>
    <row r="5" spans="1:4" ht="12.75">
      <c r="A5">
        <v>2</v>
      </c>
      <c r="B5" t="s">
        <v>1053</v>
      </c>
      <c r="C5" s="728">
        <f>'4. External Indicators'!C29</f>
        <v>0</v>
      </c>
      <c r="D5" s="687" t="e">
        <f>'4. External Indicators'!E29</f>
        <v>#DIV/0!</v>
      </c>
    </row>
    <row r="6" spans="1:4" ht="25.5">
      <c r="A6">
        <v>3</v>
      </c>
      <c r="B6" s="60" t="s">
        <v>1052</v>
      </c>
      <c r="C6" s="729" t="e">
        <f>'13. IPTRID Indicators'!B14</f>
        <v>#DIV/0!</v>
      </c>
      <c r="D6" s="687" t="e">
        <f>'4. External Indicators'!E16</f>
        <v>#DIV/0!</v>
      </c>
    </row>
    <row r="7" spans="1:4" ht="41.25" customHeight="1">
      <c r="A7">
        <v>4</v>
      </c>
      <c r="B7" s="60" t="s">
        <v>1055</v>
      </c>
      <c r="C7" s="729">
        <f>'4. External Indicators'!C21</f>
        <v>0</v>
      </c>
      <c r="D7" s="687" t="e">
        <f>'4. External Indicators'!E21</f>
        <v>#DIV/0!</v>
      </c>
    </row>
    <row r="8" spans="1:4" ht="12.75">
      <c r="A8">
        <v>5</v>
      </c>
      <c r="B8" t="s">
        <v>689</v>
      </c>
      <c r="C8" s="729" t="e">
        <f>'13. IPTRID Indicators'!B19</f>
        <v>#DIV/0!</v>
      </c>
      <c r="D8" s="687" t="e">
        <f>'4. External Indicators'!E15</f>
        <v>#DIV/0!</v>
      </c>
    </row>
    <row r="9" spans="2:4" ht="12.75">
      <c r="B9" t="s">
        <v>1192</v>
      </c>
      <c r="C9" s="729" t="e">
        <f>C7*C18/100</f>
        <v>#DIV/0!</v>
      </c>
      <c r="D9" s="687" t="e">
        <f>SQRT(D7^2+D18^2+(D7^2)*(D18^2)/4)</f>
        <v>#DIV/0!</v>
      </c>
    </row>
    <row r="10" spans="1:4" ht="12.75">
      <c r="A10">
        <v>6</v>
      </c>
      <c r="B10" t="s">
        <v>1191</v>
      </c>
      <c r="C10" s="729">
        <f>'4. External Indicators'!C19+'4. External Indicators'!C20</f>
        <v>0</v>
      </c>
      <c r="D10" s="687">
        <f>'4. External Indicators'!E22</f>
        <v>0</v>
      </c>
    </row>
    <row r="11" spans="1:4" ht="12.75">
      <c r="A11">
        <v>7</v>
      </c>
      <c r="B11" t="s">
        <v>189</v>
      </c>
      <c r="C11" s="729">
        <f>'4. External Indicators'!C33</f>
        <v>0</v>
      </c>
      <c r="D11" s="687">
        <f>'4. External Indicators'!E33</f>
        <v>0</v>
      </c>
    </row>
    <row r="12" spans="1:4" ht="12.75">
      <c r="A12">
        <v>8</v>
      </c>
      <c r="B12" t="s">
        <v>1290</v>
      </c>
      <c r="C12" s="729">
        <f>'4. External Indicators'!C34</f>
        <v>0</v>
      </c>
      <c r="D12" s="687" t="e">
        <f>'4. External Indicators'!E34</f>
        <v>#DIV/0!</v>
      </c>
    </row>
    <row r="13" spans="2:4" ht="12.75">
      <c r="B13" t="s">
        <v>190</v>
      </c>
      <c r="C13" s="730" t="e">
        <f>'4. External Indicators'!C41</f>
        <v>#DIV/0!</v>
      </c>
      <c r="D13" s="687" t="e">
        <f>'4. External Indicators'!E41</f>
        <v>#DIV/0!</v>
      </c>
    </row>
    <row r="14" spans="1:4" ht="12.75">
      <c r="A14">
        <v>9</v>
      </c>
      <c r="B14" t="s">
        <v>191</v>
      </c>
      <c r="C14" s="729">
        <f>'4. External Indicators'!C7</f>
        <v>0</v>
      </c>
      <c r="D14" s="687">
        <f>'4. External Indicators'!E7</f>
        <v>0</v>
      </c>
    </row>
    <row r="15" spans="1:4" ht="12.75">
      <c r="A15">
        <v>10</v>
      </c>
      <c r="B15" t="s">
        <v>192</v>
      </c>
      <c r="C15" s="729">
        <f>'4. External Indicators'!C8</f>
        <v>0</v>
      </c>
      <c r="D15" s="687">
        <f>'4. External Indicators'!E8</f>
        <v>0</v>
      </c>
    </row>
    <row r="16" spans="1:4" ht="14.25">
      <c r="A16">
        <v>11</v>
      </c>
      <c r="B16" t="s">
        <v>690</v>
      </c>
      <c r="C16" s="729" t="e">
        <f>'13. IPTRID Indicators'!B17</f>
        <v>#DIV/0!</v>
      </c>
      <c r="D16" s="687" t="e">
        <f>SQRT(D14^2+D6^2+(D14^2*D6^2)/4)</f>
        <v>#DIV/0!</v>
      </c>
    </row>
    <row r="17" spans="1:4" ht="14.25">
      <c r="A17">
        <v>12</v>
      </c>
      <c r="B17" t="s">
        <v>691</v>
      </c>
      <c r="C17" s="729" t="e">
        <f>'13. IPTRID Indicators'!B18</f>
        <v>#DIV/0!</v>
      </c>
      <c r="D17" s="687" t="e">
        <f>SQRT(D6^2+D15^2+D6^2*D15^2/4)</f>
        <v>#DIV/0!</v>
      </c>
    </row>
    <row r="18" spans="1:4" ht="25.5">
      <c r="A18">
        <v>13</v>
      </c>
      <c r="B18" s="726" t="s">
        <v>193</v>
      </c>
      <c r="C18" s="728" t="e">
        <f>'4. External Indicators'!D31</f>
        <v>#DIV/0!</v>
      </c>
      <c r="D18" s="687" t="e">
        <f>'4. External Indicators'!E31</f>
        <v>#DIV/0!</v>
      </c>
    </row>
    <row r="19" spans="1:4" ht="12.75">
      <c r="A19">
        <v>14</v>
      </c>
      <c r="B19" t="s">
        <v>692</v>
      </c>
      <c r="C19" s="728">
        <f>'13. IPTRID Indicators'!B47</f>
        <v>0</v>
      </c>
      <c r="D19" s="687">
        <f>'4. External Indicators'!E26</f>
        <v>0</v>
      </c>
    </row>
    <row r="20" spans="1:4" ht="12.75">
      <c r="A20">
        <v>15</v>
      </c>
      <c r="B20" t="s">
        <v>693</v>
      </c>
      <c r="C20" s="731" t="e">
        <f>'13. IPTRID Indicators'!B57</f>
        <v>#DIV/0!</v>
      </c>
      <c r="D20" s="687" t="e">
        <f>'4. External Indicators'!E45</f>
        <v>#DIV/0!</v>
      </c>
    </row>
    <row r="21" spans="1:4" ht="12.75">
      <c r="A21">
        <v>16</v>
      </c>
      <c r="B21" t="s">
        <v>694</v>
      </c>
      <c r="C21" s="731" t="e">
        <f>'13. IPTRID Indicators'!B58</f>
        <v>#DIV/0!</v>
      </c>
      <c r="D21" s="687" t="e">
        <f>SQRT(D6^2+D12^2+(D6^2*D12^2)/4)</f>
        <v>#DIV/0!</v>
      </c>
    </row>
    <row r="22" spans="1:4" ht="12.75">
      <c r="A22">
        <v>17</v>
      </c>
      <c r="B22" t="s">
        <v>283</v>
      </c>
      <c r="C22" s="731" t="e">
        <f>1/'4. External Indicators'!C48</f>
        <v>#DIV/0!</v>
      </c>
      <c r="D22" s="687" t="e">
        <f>'4. External Indicators'!E48</f>
        <v>#DIV/0!</v>
      </c>
    </row>
    <row r="23" spans="1:3" ht="12.75">
      <c r="A23">
        <v>18</v>
      </c>
      <c r="B23" t="s">
        <v>695</v>
      </c>
      <c r="C23" s="62">
        <f>'13. IPTRID Indicators'!B60</f>
        <v>0</v>
      </c>
    </row>
    <row r="24" spans="1:4" ht="12.75">
      <c r="A24">
        <v>19</v>
      </c>
      <c r="B24" t="s">
        <v>696</v>
      </c>
      <c r="C24" s="686" t="e">
        <f>'13. IPTRID Indicators'!B46</f>
        <v>#DIV/0!</v>
      </c>
      <c r="D24" s="687" t="e">
        <f>'4. External Indicators'!E47</f>
        <v>#DIV/0!</v>
      </c>
    </row>
    <row r="25" spans="1:4" ht="12.75">
      <c r="A25">
        <v>20</v>
      </c>
      <c r="B25" t="s">
        <v>1291</v>
      </c>
      <c r="C25" s="686" t="e">
        <f>'4. External Indicators'!C46</f>
        <v>#DIV/0!</v>
      </c>
      <c r="D25" s="687" t="e">
        <f>'4. External Indicators'!E46</f>
        <v>#DIV/0!</v>
      </c>
    </row>
    <row r="26" spans="1:3" ht="12.75">
      <c r="A26" s="688" t="s">
        <v>697</v>
      </c>
      <c r="C26" s="686"/>
    </row>
    <row r="27" spans="1:3" ht="12.75">
      <c r="A27">
        <v>21</v>
      </c>
      <c r="B27" t="s">
        <v>284</v>
      </c>
      <c r="C27" s="687" t="e">
        <f>'13. IPTRID Indicators'!B61</f>
        <v>#DIV/0!</v>
      </c>
    </row>
    <row r="28" spans="1:3" ht="12.75">
      <c r="A28">
        <v>22</v>
      </c>
      <c r="B28" t="s">
        <v>285</v>
      </c>
      <c r="C28" s="687" t="e">
        <f>'13. IPTRID Indicators'!B62</f>
        <v>#DIV/0!</v>
      </c>
    </row>
    <row r="29" spans="1:3" ht="12.75">
      <c r="A29">
        <v>23</v>
      </c>
      <c r="B29" t="s">
        <v>286</v>
      </c>
      <c r="C29" s="690" t="e">
        <f>'13. IPTRID Indicators'!B63</f>
        <v>#DIV/0!</v>
      </c>
    </row>
    <row r="30" spans="1:3" ht="12.75">
      <c r="A30">
        <v>24</v>
      </c>
      <c r="B30" t="s">
        <v>410</v>
      </c>
      <c r="C30" s="690" t="e">
        <f>'13. IPTRID Indicators'!B64</f>
        <v>#DIV/0!</v>
      </c>
    </row>
    <row r="31" spans="1:3" ht="12.75">
      <c r="A31">
        <v>25</v>
      </c>
      <c r="B31" t="s">
        <v>287</v>
      </c>
      <c r="C31" s="687" t="e">
        <f>'13. IPTRID Indicators'!B65</f>
        <v>#DIV/0!</v>
      </c>
    </row>
    <row r="32" spans="1:3" ht="12.75">
      <c r="A32">
        <v>26</v>
      </c>
      <c r="B32" t="s">
        <v>55</v>
      </c>
      <c r="C32" s="722" t="e">
        <f>'13. IPTRID Indicators'!B66</f>
        <v>#DIV/0!</v>
      </c>
    </row>
    <row r="33" spans="1:3" ht="12.75">
      <c r="A33">
        <v>27</v>
      </c>
      <c r="B33" t="s">
        <v>409</v>
      </c>
      <c r="C33" s="446" t="e">
        <f>'13. IPTRID Indicators'!B67</f>
        <v>#DIV/0!</v>
      </c>
    </row>
    <row r="34" spans="1:3" ht="30.75" customHeight="1">
      <c r="A34">
        <v>28</v>
      </c>
      <c r="B34" s="60" t="s">
        <v>188</v>
      </c>
      <c r="C34" s="727" t="e">
        <f>'13. IPTRID Indicators'!B25/((C18/100)*C7)/1000000</f>
        <v>#DIV/0!</v>
      </c>
    </row>
    <row r="35" spans="1:3" ht="31.5" customHeight="1">
      <c r="A35">
        <v>29</v>
      </c>
      <c r="B35" s="60" t="s">
        <v>187</v>
      </c>
      <c r="C35" s="727" t="e">
        <f>'13. IPTRID Indicators'!B26/(C7/(C18/100))/1000000</f>
        <v>#DIV/0!</v>
      </c>
    </row>
    <row r="36" ht="12.75">
      <c r="A36" s="688" t="s">
        <v>700</v>
      </c>
    </row>
    <row r="37" spans="1:3" ht="12.75">
      <c r="A37">
        <v>30</v>
      </c>
      <c r="B37" t="s">
        <v>288</v>
      </c>
      <c r="C37" s="691">
        <f>'13. IPTRID Indicators'!B70</f>
        <v>0</v>
      </c>
    </row>
    <row r="38" spans="1:3" ht="12.75">
      <c r="A38">
        <v>31</v>
      </c>
      <c r="B38" t="s">
        <v>424</v>
      </c>
      <c r="C38" s="690" t="e">
        <f>'13. IPTRID Indicators'!B71</f>
        <v>#DIV/0!</v>
      </c>
    </row>
    <row r="39" spans="1:3" ht="12.75">
      <c r="A39">
        <v>32</v>
      </c>
      <c r="B39" t="s">
        <v>425</v>
      </c>
      <c r="C39" s="690" t="e">
        <f>'13. IPTRID Indicators'!B72</f>
        <v>#DIV/0!</v>
      </c>
    </row>
    <row r="40" spans="1:3" ht="14.25">
      <c r="A40">
        <v>33</v>
      </c>
      <c r="B40" t="s">
        <v>702</v>
      </c>
      <c r="C40" s="706" t="e">
        <f>'13. IPTRID Indicators'!B73</f>
        <v>#DIV/0!</v>
      </c>
    </row>
    <row r="41" spans="1:3" ht="14.25">
      <c r="A41">
        <v>34</v>
      </c>
      <c r="B41" t="s">
        <v>701</v>
      </c>
      <c r="C41" s="706" t="e">
        <f>'13. IPTRID Indicators'!B74</f>
        <v>#DIV/0!</v>
      </c>
    </row>
    <row r="42" spans="1:3" ht="14.25">
      <c r="A42">
        <v>35</v>
      </c>
      <c r="B42" t="s">
        <v>194</v>
      </c>
      <c r="C42" s="706" t="e">
        <f>'13. IPTRID Indicators'!B75</f>
        <v>#DIV/0!</v>
      </c>
    </row>
    <row r="43" ht="12.75">
      <c r="A43" s="64" t="s">
        <v>703</v>
      </c>
    </row>
    <row r="44" spans="1:3" ht="12.75">
      <c r="A44">
        <v>36</v>
      </c>
      <c r="B44" t="s">
        <v>704</v>
      </c>
      <c r="C44" s="446">
        <f>'5. Project Office Questions'!C220</f>
        <v>0</v>
      </c>
    </row>
    <row r="45" spans="1:3" ht="12.75">
      <c r="A45">
        <v>37</v>
      </c>
      <c r="B45" t="s">
        <v>705</v>
      </c>
      <c r="C45" s="62">
        <f>'5. Project Office Questions'!C221</f>
        <v>0</v>
      </c>
    </row>
    <row r="46" spans="1:3" ht="12.75">
      <c r="A46">
        <v>38</v>
      </c>
      <c r="B46" t="s">
        <v>710</v>
      </c>
      <c r="C46" s="62">
        <f>'5. Project Office Questions'!C226</f>
        <v>0</v>
      </c>
    </row>
    <row r="47" spans="1:3" ht="12.75">
      <c r="A47">
        <v>39</v>
      </c>
      <c r="B47" t="s">
        <v>709</v>
      </c>
      <c r="C47" s="62">
        <f>'5. Project Office Questions'!C225</f>
        <v>0</v>
      </c>
    </row>
    <row r="48" spans="1:3" ht="12.75">
      <c r="A48">
        <v>40</v>
      </c>
      <c r="B48" t="s">
        <v>708</v>
      </c>
      <c r="C48" s="62">
        <f>'5. Project Office Questions'!C224</f>
        <v>0</v>
      </c>
    </row>
    <row r="49" spans="1:3" ht="12.75">
      <c r="A49">
        <v>41</v>
      </c>
      <c r="B49" t="s">
        <v>707</v>
      </c>
      <c r="C49" s="62">
        <f>'5. Project Office Questions'!C225</f>
        <v>0</v>
      </c>
    </row>
    <row r="50" spans="1:3" ht="12.75">
      <c r="A50">
        <v>42</v>
      </c>
      <c r="B50" t="s">
        <v>706</v>
      </c>
      <c r="C50" s="62">
        <f>'5. Project Office Questions'!C222</f>
        <v>0</v>
      </c>
    </row>
    <row r="51" spans="1:3" ht="12.75">
      <c r="A51">
        <v>43</v>
      </c>
      <c r="B51" t="s">
        <v>602</v>
      </c>
      <c r="C51" s="446">
        <f>'5. Project Office Questions'!C223</f>
        <v>0</v>
      </c>
    </row>
    <row r="52" ht="12.75">
      <c r="A52" s="64" t="s">
        <v>484</v>
      </c>
    </row>
    <row r="53" spans="1:3" ht="12.75">
      <c r="A53">
        <v>44</v>
      </c>
      <c r="B53" t="s">
        <v>485</v>
      </c>
      <c r="C53" s="749" t="e">
        <f>'5. Project Office Questions'!C60/'13. IPTRID Indicators'!B26</f>
        <v>#DIV/0!</v>
      </c>
    </row>
  </sheetData>
  <printOptions gridLines="1" headings="1"/>
  <pageMargins left="0.75" right="0.75" top="1" bottom="1" header="0.5" footer="0.5"/>
  <pageSetup fitToHeight="1" fitToWidth="1" horizontalDpi="600" verticalDpi="600" orientation="portrait" scale="75" r:id="rId1"/>
  <headerFooter alignWithMargins="0">
    <oddHeader>&amp;CRAPand Benchmarking Example for WB October14  2002</oddHeader>
    <oddFooter>&amp;LFAO/WB/Cal Poly ITRC&amp;C&amp;A&amp;R&amp;P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V51"/>
  <sheetViews>
    <sheetView zoomScale="70" zoomScaleNormal="70" workbookViewId="0" topLeftCell="A1">
      <selection activeCell="A1" sqref="A1"/>
    </sheetView>
  </sheetViews>
  <sheetFormatPr defaultColWidth="9.140625" defaultRowHeight="12.75"/>
  <cols>
    <col min="1" max="1" width="83.00390625" style="340" customWidth="1"/>
    <col min="2" max="2" width="10.140625" style="0" customWidth="1"/>
    <col min="3" max="3" width="15.57421875" style="0" customWidth="1"/>
    <col min="4" max="4" width="14.7109375" style="712" customWidth="1"/>
    <col min="5" max="5" width="10.421875" style="377" customWidth="1"/>
    <col min="6" max="9" width="10.421875" style="363" customWidth="1"/>
    <col min="11" max="11" width="9.8515625" style="0" bestFit="1" customWidth="1"/>
    <col min="12" max="21" width="9.57421875" style="0" bestFit="1" customWidth="1"/>
  </cols>
  <sheetData>
    <row r="1" spans="3:48" ht="46.5" customHeight="1">
      <c r="C1" s="438"/>
      <c r="D1" s="711"/>
      <c r="E1" s="439"/>
      <c r="F1" s="360"/>
      <c r="G1" s="360"/>
      <c r="H1" s="360"/>
      <c r="I1" s="360"/>
      <c r="J1" s="321"/>
      <c r="K1" s="322" t="s">
        <v>637</v>
      </c>
      <c r="L1" s="62"/>
      <c r="M1" s="62"/>
      <c r="N1" s="62"/>
      <c r="O1" s="62"/>
      <c r="P1" s="62"/>
      <c r="Q1" s="62"/>
      <c r="R1" s="62"/>
      <c r="S1" s="62"/>
      <c r="T1" s="62"/>
      <c r="U1" s="62"/>
      <c r="V1" s="62"/>
      <c r="W1" s="323"/>
      <c r="X1" s="322" t="s">
        <v>638</v>
      </c>
      <c r="Y1" s="62"/>
      <c r="Z1" s="62"/>
      <c r="AA1" s="62"/>
      <c r="AB1" s="62"/>
      <c r="AC1" s="62"/>
      <c r="AD1" s="62"/>
      <c r="AE1" s="62"/>
      <c r="AF1" s="62"/>
      <c r="AG1" s="62"/>
      <c r="AH1" s="62"/>
      <c r="AI1" s="62"/>
      <c r="AJ1" s="323"/>
      <c r="AK1" s="322" t="s">
        <v>639</v>
      </c>
      <c r="AL1" s="62"/>
      <c r="AM1" s="62"/>
      <c r="AN1" s="62"/>
      <c r="AO1" s="62"/>
      <c r="AP1" s="62"/>
      <c r="AQ1" s="62"/>
      <c r="AR1" s="62"/>
      <c r="AS1" s="62"/>
      <c r="AT1" s="62"/>
      <c r="AU1" s="62"/>
      <c r="AV1" s="62"/>
    </row>
    <row r="2" spans="1:48" ht="18">
      <c r="A2" s="716" t="s">
        <v>636</v>
      </c>
      <c r="B2" s="717" t="s">
        <v>640</v>
      </c>
      <c r="C2" s="588">
        <f>'1. Input - Water Balance'!$C$9</f>
        <v>0</v>
      </c>
      <c r="D2" s="603" t="s">
        <v>1287</v>
      </c>
      <c r="E2" s="598" t="s">
        <v>1288</v>
      </c>
      <c r="F2" s="360"/>
      <c r="G2" s="360"/>
      <c r="H2" s="360"/>
      <c r="I2" s="360"/>
      <c r="J2" s="321"/>
      <c r="K2" s="324">
        <f>'1. Input - Water Balance'!D40</f>
        <v>0</v>
      </c>
      <c r="L2" s="324">
        <f>'1. Input - Water Balance'!E40</f>
        <v>0</v>
      </c>
      <c r="M2" s="324">
        <f>'1. Input - Water Balance'!F40</f>
        <v>0</v>
      </c>
      <c r="N2" s="324">
        <f>'1. Input - Water Balance'!G40</f>
        <v>0</v>
      </c>
      <c r="O2" s="324">
        <f>'1. Input - Water Balance'!H40</f>
        <v>0</v>
      </c>
      <c r="P2" s="324">
        <f>'1. Input - Water Balance'!I40</f>
        <v>0</v>
      </c>
      <c r="Q2" s="324">
        <f>'1. Input - Water Balance'!J40</f>
        <v>0</v>
      </c>
      <c r="R2" s="324">
        <f>'1. Input - Water Balance'!K40</f>
        <v>0</v>
      </c>
      <c r="S2" s="324">
        <f>'1. Input - Water Balance'!L40</f>
        <v>0</v>
      </c>
      <c r="T2" s="324">
        <f>'1. Input - Water Balance'!M40</f>
        <v>0</v>
      </c>
      <c r="U2" s="324">
        <f>'1. Input - Water Balance'!N40</f>
        <v>0</v>
      </c>
      <c r="V2" s="324">
        <f>'1. Input - Water Balance'!O40</f>
        <v>0</v>
      </c>
      <c r="W2" s="323"/>
      <c r="X2" s="324" t="e">
        <f>#REF!</f>
        <v>#REF!</v>
      </c>
      <c r="Y2" s="324" t="e">
        <f>#REF!</f>
        <v>#REF!</v>
      </c>
      <c r="Z2" s="324" t="e">
        <f>#REF!</f>
        <v>#REF!</v>
      </c>
      <c r="AA2" s="324" t="e">
        <f>#REF!</f>
        <v>#REF!</v>
      </c>
      <c r="AB2" s="324" t="e">
        <f>#REF!</f>
        <v>#REF!</v>
      </c>
      <c r="AC2" s="324" t="e">
        <f>#REF!</f>
        <v>#REF!</v>
      </c>
      <c r="AD2" s="324" t="e">
        <f>#REF!</f>
        <v>#REF!</v>
      </c>
      <c r="AE2" s="324" t="e">
        <f>#REF!</f>
        <v>#REF!</v>
      </c>
      <c r="AF2" s="324" t="e">
        <f>#REF!</f>
        <v>#REF!</v>
      </c>
      <c r="AG2" s="324" t="e">
        <f>#REF!</f>
        <v>#REF!</v>
      </c>
      <c r="AH2" s="324" t="e">
        <f>#REF!</f>
        <v>#REF!</v>
      </c>
      <c r="AI2" s="324" t="e">
        <f>#REF!</f>
        <v>#REF!</v>
      </c>
      <c r="AJ2" s="323"/>
      <c r="AK2" s="324" t="e">
        <f>#REF!</f>
        <v>#REF!</v>
      </c>
      <c r="AL2" s="324" t="e">
        <f>#REF!</f>
        <v>#REF!</v>
      </c>
      <c r="AM2" s="324" t="e">
        <f>#REF!</f>
        <v>#REF!</v>
      </c>
      <c r="AN2" s="324" t="e">
        <f>#REF!</f>
        <v>#REF!</v>
      </c>
      <c r="AO2" s="324" t="e">
        <f>#REF!</f>
        <v>#REF!</v>
      </c>
      <c r="AP2" s="324" t="e">
        <f>#REF!</f>
        <v>#REF!</v>
      </c>
      <c r="AQ2" s="324" t="e">
        <f>#REF!</f>
        <v>#REF!</v>
      </c>
      <c r="AR2" s="324" t="e">
        <f>#REF!</f>
        <v>#REF!</v>
      </c>
      <c r="AS2" s="324" t="e">
        <f>#REF!</f>
        <v>#REF!</v>
      </c>
      <c r="AT2" s="324" t="e">
        <f>#REF!</f>
        <v>#REF!</v>
      </c>
      <c r="AU2" s="324" t="e">
        <f>#REF!</f>
        <v>#REF!</v>
      </c>
      <c r="AV2" s="324" t="e">
        <f>#REF!</f>
        <v>#REF!</v>
      </c>
    </row>
    <row r="3" spans="1:48" ht="18">
      <c r="A3" s="440" t="s">
        <v>641</v>
      </c>
      <c r="B3" s="437"/>
      <c r="C3" s="435"/>
      <c r="D3" s="603"/>
      <c r="E3" s="598" t="s">
        <v>642</v>
      </c>
      <c r="F3" s="360"/>
      <c r="G3" s="360"/>
      <c r="H3" s="360"/>
      <c r="I3" s="360"/>
      <c r="J3" s="321"/>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row>
    <row r="4" spans="1:48" ht="34.5" customHeight="1">
      <c r="A4" s="591" t="s">
        <v>782</v>
      </c>
      <c r="B4" s="437" t="s">
        <v>325</v>
      </c>
      <c r="C4" s="344">
        <f>'1. Input - Water Balance'!$C$13</f>
        <v>0</v>
      </c>
      <c r="D4" s="602">
        <f>C4</f>
        <v>0</v>
      </c>
      <c r="E4" s="599"/>
      <c r="F4" s="361">
        <f>IF(C4&gt;0,1,0)</f>
        <v>0</v>
      </c>
      <c r="G4" s="361"/>
      <c r="H4" s="361"/>
      <c r="I4" s="361"/>
      <c r="J4" s="321"/>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row>
    <row r="5" spans="1:48" ht="23.25" customHeight="1">
      <c r="A5" s="589" t="s">
        <v>931</v>
      </c>
      <c r="B5" s="437" t="s">
        <v>325</v>
      </c>
      <c r="C5" s="344" t="e">
        <f>'1. Input - Water Balance'!D151</f>
        <v>#DIV/0!</v>
      </c>
      <c r="D5" s="602" t="e">
        <f>C5</f>
        <v>#DIV/0!</v>
      </c>
      <c r="E5" s="599"/>
      <c r="F5" s="361" t="e">
        <f>IF(C5&gt;0,1,0)</f>
        <v>#DIV/0!</v>
      </c>
      <c r="G5" s="361"/>
      <c r="H5" s="361"/>
      <c r="I5" s="361"/>
      <c r="J5" s="321"/>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row>
    <row r="6" spans="1:48" ht="18">
      <c r="A6" s="590" t="s">
        <v>643</v>
      </c>
      <c r="B6" s="437"/>
      <c r="C6" s="344"/>
      <c r="D6" s="602"/>
      <c r="E6" s="600"/>
      <c r="F6" s="362"/>
      <c r="G6" s="362"/>
      <c r="H6" s="362"/>
      <c r="I6" s="362"/>
      <c r="J6" s="321"/>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row>
    <row r="7" spans="1:48" ht="39.75" customHeight="1">
      <c r="A7" s="591" t="s">
        <v>1075</v>
      </c>
      <c r="B7" s="437" t="s">
        <v>644</v>
      </c>
      <c r="C7" s="343">
        <f>'1. Input - Water Balance'!$C$11</f>
        <v>0</v>
      </c>
      <c r="D7" s="602">
        <f>C7</f>
        <v>0</v>
      </c>
      <c r="E7" s="599"/>
      <c r="F7" s="361">
        <f>IF(C7&gt;0,1,0)</f>
        <v>0</v>
      </c>
      <c r="G7" s="361"/>
      <c r="H7" s="361"/>
      <c r="I7" s="361"/>
      <c r="J7" s="321"/>
      <c r="K7" s="325"/>
      <c r="L7" s="325"/>
      <c r="M7" s="325"/>
      <c r="N7" s="325"/>
      <c r="O7" s="325"/>
      <c r="P7" s="325"/>
      <c r="Q7" s="325"/>
      <c r="R7" s="325"/>
      <c r="S7" s="325"/>
      <c r="T7" s="325"/>
      <c r="U7" s="325"/>
      <c r="V7" s="325"/>
      <c r="W7" s="323"/>
      <c r="X7" s="325"/>
      <c r="Y7" s="325"/>
      <c r="Z7" s="325"/>
      <c r="AA7" s="325"/>
      <c r="AB7" s="325"/>
      <c r="AC7" s="325"/>
      <c r="AD7" s="325"/>
      <c r="AE7" s="325"/>
      <c r="AF7" s="325"/>
      <c r="AG7" s="325"/>
      <c r="AH7" s="325"/>
      <c r="AI7" s="325"/>
      <c r="AJ7" s="323"/>
      <c r="AK7" s="325"/>
      <c r="AL7" s="325"/>
      <c r="AM7" s="325"/>
      <c r="AN7" s="325"/>
      <c r="AO7" s="325"/>
      <c r="AP7" s="325"/>
      <c r="AQ7" s="325"/>
      <c r="AR7" s="325"/>
      <c r="AS7" s="325"/>
      <c r="AT7" s="325"/>
      <c r="AU7" s="325"/>
      <c r="AV7" s="325"/>
    </row>
    <row r="8" spans="1:48" ht="39" customHeight="1">
      <c r="A8" s="591" t="s">
        <v>1070</v>
      </c>
      <c r="B8" s="437" t="s">
        <v>644</v>
      </c>
      <c r="C8" s="343">
        <f>'1. Input - Water Balance'!$O$128</f>
        <v>0</v>
      </c>
      <c r="D8" s="602">
        <f>C8</f>
        <v>0</v>
      </c>
      <c r="E8" s="601"/>
      <c r="F8" s="361">
        <f>IF(C8&gt;0,1,0)</f>
        <v>0</v>
      </c>
      <c r="G8" s="361"/>
      <c r="H8" s="361"/>
      <c r="I8" s="361"/>
      <c r="J8" s="321"/>
      <c r="K8" s="326">
        <f>'1. Input - Water Balance'!$C$128</f>
        <v>0</v>
      </c>
      <c r="L8" s="326">
        <f>'1. Input - Water Balance'!D128</f>
        <v>0</v>
      </c>
      <c r="M8" s="326">
        <f>'1. Input - Water Balance'!E128</f>
        <v>0</v>
      </c>
      <c r="N8" s="326">
        <f>'1. Input - Water Balance'!F128</f>
        <v>0</v>
      </c>
      <c r="O8" s="326">
        <f>'1. Input - Water Balance'!G128</f>
        <v>0</v>
      </c>
      <c r="P8" s="326">
        <f>'1. Input - Water Balance'!H128</f>
        <v>0</v>
      </c>
      <c r="Q8" s="326">
        <f>'1. Input - Water Balance'!I128</f>
        <v>0</v>
      </c>
      <c r="R8" s="326">
        <f>'1. Input - Water Balance'!J128</f>
        <v>0</v>
      </c>
      <c r="S8" s="326">
        <f>'1. Input - Water Balance'!K128</f>
        <v>0</v>
      </c>
      <c r="T8" s="326">
        <f>'1. Input - Water Balance'!L128</f>
        <v>0</v>
      </c>
      <c r="U8" s="326">
        <f>'1. Input - Water Balance'!M128</f>
        <v>0</v>
      </c>
      <c r="V8" s="326">
        <f>'1. Input - Water Balance'!N128</f>
        <v>0</v>
      </c>
      <c r="W8" s="323"/>
      <c r="X8" s="326" t="e">
        <f>#REF!</f>
        <v>#REF!</v>
      </c>
      <c r="Y8" s="326" t="e">
        <f>#REF!</f>
        <v>#REF!</v>
      </c>
      <c r="Z8" s="326" t="e">
        <f>#REF!</f>
        <v>#REF!</v>
      </c>
      <c r="AA8" s="326" t="e">
        <f>#REF!</f>
        <v>#REF!</v>
      </c>
      <c r="AB8" s="326" t="e">
        <f>#REF!</f>
        <v>#REF!</v>
      </c>
      <c r="AC8" s="326" t="e">
        <f>#REF!</f>
        <v>#REF!</v>
      </c>
      <c r="AD8" s="326" t="e">
        <f>#REF!</f>
        <v>#REF!</v>
      </c>
      <c r="AE8" s="326" t="e">
        <f>#REF!</f>
        <v>#REF!</v>
      </c>
      <c r="AF8" s="326" t="e">
        <f>#REF!</f>
        <v>#REF!</v>
      </c>
      <c r="AG8" s="326" t="e">
        <f>#REF!</f>
        <v>#REF!</v>
      </c>
      <c r="AH8" s="326" t="e">
        <f>#REF!</f>
        <v>#REF!</v>
      </c>
      <c r="AI8" s="326" t="e">
        <f>#REF!</f>
        <v>#REF!</v>
      </c>
      <c r="AJ8" s="323"/>
      <c r="AK8" s="326" t="e">
        <f>#REF!</f>
        <v>#REF!</v>
      </c>
      <c r="AL8" s="326" t="e">
        <f>#REF!</f>
        <v>#REF!</v>
      </c>
      <c r="AM8" s="326" t="e">
        <f>#REF!</f>
        <v>#REF!</v>
      </c>
      <c r="AN8" s="326" t="e">
        <f>#REF!</f>
        <v>#REF!</v>
      </c>
      <c r="AO8" s="326" t="e">
        <f>#REF!</f>
        <v>#REF!</v>
      </c>
      <c r="AP8" s="326" t="e">
        <f>#REF!</f>
        <v>#REF!</v>
      </c>
      <c r="AQ8" s="326" t="e">
        <f>#REF!</f>
        <v>#REF!</v>
      </c>
      <c r="AR8" s="326" t="e">
        <f>#REF!</f>
        <v>#REF!</v>
      </c>
      <c r="AS8" s="326" t="e">
        <f>#REF!</f>
        <v>#REF!</v>
      </c>
      <c r="AT8" s="326" t="e">
        <f>#REF!</f>
        <v>#REF!</v>
      </c>
      <c r="AU8" s="326" t="e">
        <f>#REF!</f>
        <v>#REF!</v>
      </c>
      <c r="AV8" s="326" t="e">
        <f>#REF!</f>
        <v>#REF!</v>
      </c>
    </row>
    <row r="9" spans="1:48" ht="18">
      <c r="A9" s="591" t="s">
        <v>645</v>
      </c>
      <c r="B9" s="437" t="s">
        <v>646</v>
      </c>
      <c r="C9" s="379" t="e">
        <f>C8/C7</f>
        <v>#DIV/0!</v>
      </c>
      <c r="D9" s="713" t="e">
        <f>C9</f>
        <v>#DIV/0!</v>
      </c>
      <c r="E9" s="600">
        <f>SQRT(E7^2+E8^2+(E7^2)*(E8^2)/4)</f>
        <v>0</v>
      </c>
      <c r="F9" s="361" t="e">
        <f>IF(C9&gt;0,1,0)</f>
        <v>#DIV/0!</v>
      </c>
      <c r="G9" s="361"/>
      <c r="H9" s="361"/>
      <c r="I9" s="361"/>
      <c r="J9" s="321"/>
      <c r="K9" s="321"/>
      <c r="L9" s="321"/>
      <c r="M9" s="321"/>
      <c r="N9" s="321"/>
      <c r="O9" s="321"/>
      <c r="P9" s="321"/>
      <c r="Q9" s="321"/>
      <c r="R9" s="321"/>
      <c r="S9" s="321"/>
      <c r="T9" s="321"/>
      <c r="U9" s="321"/>
      <c r="V9" s="321"/>
      <c r="W9" s="323"/>
      <c r="X9" s="321"/>
      <c r="Y9" s="321"/>
      <c r="Z9" s="321"/>
      <c r="AA9" s="321"/>
      <c r="AB9" s="321"/>
      <c r="AC9" s="321"/>
      <c r="AD9" s="321"/>
      <c r="AE9" s="321"/>
      <c r="AF9" s="321"/>
      <c r="AG9" s="321"/>
      <c r="AH9" s="321"/>
      <c r="AI9" s="321"/>
      <c r="AJ9" s="323"/>
      <c r="AK9" s="321"/>
      <c r="AL9" s="321"/>
      <c r="AM9" s="321"/>
      <c r="AN9" s="321"/>
      <c r="AO9" s="321"/>
      <c r="AP9" s="321"/>
      <c r="AQ9" s="321"/>
      <c r="AR9" s="321"/>
      <c r="AS9" s="321"/>
      <c r="AT9" s="321"/>
      <c r="AU9" s="321"/>
      <c r="AV9" s="321"/>
    </row>
    <row r="10" spans="1:48" ht="18">
      <c r="A10" s="592" t="s">
        <v>647</v>
      </c>
      <c r="B10" s="437"/>
      <c r="C10" s="380"/>
      <c r="D10" s="602"/>
      <c r="E10" s="600"/>
      <c r="F10" s="362"/>
      <c r="G10" s="362"/>
      <c r="H10" s="362"/>
      <c r="I10" s="362"/>
      <c r="J10" s="321"/>
      <c r="K10" s="321"/>
      <c r="L10" s="321"/>
      <c r="M10" s="321"/>
      <c r="N10" s="321"/>
      <c r="O10" s="321"/>
      <c r="P10" s="321"/>
      <c r="Q10" s="321"/>
      <c r="R10" s="321"/>
      <c r="S10" s="321"/>
      <c r="T10" s="321"/>
      <c r="U10" s="321"/>
      <c r="V10" s="321"/>
      <c r="W10" s="323"/>
      <c r="X10" s="321"/>
      <c r="Y10" s="321"/>
      <c r="Z10" s="321"/>
      <c r="AA10" s="321"/>
      <c r="AB10" s="321"/>
      <c r="AC10" s="321"/>
      <c r="AD10" s="321"/>
      <c r="AE10" s="321"/>
      <c r="AF10" s="321"/>
      <c r="AG10" s="321"/>
      <c r="AH10" s="321"/>
      <c r="AI10" s="321"/>
      <c r="AJ10" s="323"/>
      <c r="AK10" s="321"/>
      <c r="AL10" s="321"/>
      <c r="AM10" s="321"/>
      <c r="AN10" s="321"/>
      <c r="AO10" s="321"/>
      <c r="AP10" s="321"/>
      <c r="AQ10" s="321"/>
      <c r="AR10" s="321"/>
      <c r="AS10" s="321"/>
      <c r="AT10" s="321"/>
      <c r="AU10" s="321"/>
      <c r="AV10" s="321"/>
    </row>
    <row r="11" spans="1:48" ht="39.75" customHeight="1">
      <c r="A11" s="591" t="s">
        <v>932</v>
      </c>
      <c r="B11" s="437" t="s">
        <v>321</v>
      </c>
      <c r="C11" s="378">
        <f>SUM(K11:V11)</f>
        <v>0</v>
      </c>
      <c r="D11" s="602">
        <f aca="true" t="shared" si="0" ref="D11:D16">C11</f>
        <v>0</v>
      </c>
      <c r="E11" s="599"/>
      <c r="F11" s="361">
        <f>IF(C11&gt;0,1,0)</f>
        <v>0</v>
      </c>
      <c r="G11" s="361"/>
      <c r="H11" s="361"/>
      <c r="I11" s="361"/>
      <c r="J11" s="321"/>
      <c r="K11" s="324">
        <f>'1. Input - Water Balance'!C74</f>
        <v>0</v>
      </c>
      <c r="L11" s="324">
        <f>'1. Input - Water Balance'!D74</f>
        <v>0</v>
      </c>
      <c r="M11" s="324">
        <f>'1. Input - Water Balance'!E74</f>
        <v>0</v>
      </c>
      <c r="N11" s="324">
        <f>'1. Input - Water Balance'!F74</f>
        <v>0</v>
      </c>
      <c r="O11" s="324">
        <f>'1. Input - Water Balance'!G74</f>
        <v>0</v>
      </c>
      <c r="P11" s="324">
        <f>'1. Input - Water Balance'!H74</f>
        <v>0</v>
      </c>
      <c r="Q11" s="324">
        <f>'1. Input - Water Balance'!I74</f>
        <v>0</v>
      </c>
      <c r="R11" s="324">
        <f>'1. Input - Water Balance'!J74</f>
        <v>0</v>
      </c>
      <c r="S11" s="324">
        <f>'1. Input - Water Balance'!K74</f>
        <v>0</v>
      </c>
      <c r="T11" s="324">
        <f>'1. Input - Water Balance'!L74</f>
        <v>0</v>
      </c>
      <c r="U11" s="324">
        <f>'1. Input - Water Balance'!M74</f>
        <v>0</v>
      </c>
      <c r="V11" s="324">
        <f>'1. Input - Water Balance'!N74</f>
        <v>0</v>
      </c>
      <c r="W11" s="323"/>
      <c r="X11" s="326" t="e">
        <f>#REF!</f>
        <v>#REF!</v>
      </c>
      <c r="Y11" s="326" t="e">
        <f>#REF!</f>
        <v>#REF!</v>
      </c>
      <c r="Z11" s="326" t="e">
        <f>#REF!</f>
        <v>#REF!</v>
      </c>
      <c r="AA11" s="326" t="e">
        <f>#REF!</f>
        <v>#REF!</v>
      </c>
      <c r="AB11" s="326" t="e">
        <f>#REF!</f>
        <v>#REF!</v>
      </c>
      <c r="AC11" s="326" t="e">
        <f>#REF!</f>
        <v>#REF!</v>
      </c>
      <c r="AD11" s="326" t="e">
        <f>#REF!</f>
        <v>#REF!</v>
      </c>
      <c r="AE11" s="326" t="e">
        <f>#REF!</f>
        <v>#REF!</v>
      </c>
      <c r="AF11" s="326" t="e">
        <f>#REF!</f>
        <v>#REF!</v>
      </c>
      <c r="AG11" s="326" t="e">
        <f>#REF!</f>
        <v>#REF!</v>
      </c>
      <c r="AH11" s="326" t="e">
        <f>#REF!</f>
        <v>#REF!</v>
      </c>
      <c r="AI11" s="326" t="e">
        <f>#REF!</f>
        <v>#REF!</v>
      </c>
      <c r="AJ11" s="323"/>
      <c r="AK11" s="324" t="e">
        <f>#REF!</f>
        <v>#REF!</v>
      </c>
      <c r="AL11" s="324" t="e">
        <f>#REF!</f>
        <v>#REF!</v>
      </c>
      <c r="AM11" s="324" t="e">
        <f>#REF!</f>
        <v>#REF!</v>
      </c>
      <c r="AN11" s="324" t="e">
        <f>#REF!</f>
        <v>#REF!</v>
      </c>
      <c r="AO11" s="324" t="e">
        <f>#REF!</f>
        <v>#REF!</v>
      </c>
      <c r="AP11" s="324" t="e">
        <f>#REF!</f>
        <v>#REF!</v>
      </c>
      <c r="AQ11" s="324" t="e">
        <f>#REF!</f>
        <v>#REF!</v>
      </c>
      <c r="AR11" s="324" t="e">
        <f>#REF!</f>
        <v>#REF!</v>
      </c>
      <c r="AS11" s="324" t="e">
        <f>#REF!</f>
        <v>#REF!</v>
      </c>
      <c r="AT11" s="324" t="e">
        <f>#REF!</f>
        <v>#REF!</v>
      </c>
      <c r="AU11" s="324" t="e">
        <f>#REF!</f>
        <v>#REF!</v>
      </c>
      <c r="AV11" s="324" t="e">
        <f>#REF!</f>
        <v>#REF!</v>
      </c>
    </row>
    <row r="12" spans="1:48" ht="21.75" customHeight="1">
      <c r="A12" s="591" t="s">
        <v>1072</v>
      </c>
      <c r="B12" s="437" t="s">
        <v>321</v>
      </c>
      <c r="C12" s="378">
        <f>SUM(K12:V12)</f>
        <v>0</v>
      </c>
      <c r="D12" s="602">
        <f t="shared" si="0"/>
        <v>0</v>
      </c>
      <c r="E12" s="599"/>
      <c r="F12" s="361">
        <f>IF(C12&gt;0,1,0)</f>
        <v>0</v>
      </c>
      <c r="G12" s="361"/>
      <c r="H12" s="361"/>
      <c r="I12" s="361"/>
      <c r="J12" s="321"/>
      <c r="K12" s="327">
        <f>'1. Input - Water Balance'!$Q$198</f>
        <v>0</v>
      </c>
      <c r="L12" s="327">
        <f>'1. Input - Water Balance'!R198</f>
        <v>0</v>
      </c>
      <c r="M12" s="327">
        <f>'1. Input - Water Balance'!S198</f>
        <v>0</v>
      </c>
      <c r="N12" s="327">
        <f>'1. Input - Water Balance'!T198</f>
        <v>0</v>
      </c>
      <c r="O12" s="327">
        <f>'1. Input - Water Balance'!U198</f>
        <v>0</v>
      </c>
      <c r="P12" s="327">
        <f>'1. Input - Water Balance'!V198</f>
        <v>0</v>
      </c>
      <c r="Q12" s="327">
        <f>'1. Input - Water Balance'!W198</f>
        <v>0</v>
      </c>
      <c r="R12" s="327">
        <f>'1. Input - Water Balance'!X198</f>
        <v>0</v>
      </c>
      <c r="S12" s="327">
        <f>'1. Input - Water Balance'!Y198</f>
        <v>0</v>
      </c>
      <c r="T12" s="327">
        <f>'1. Input - Water Balance'!Z198</f>
        <v>0</v>
      </c>
      <c r="U12" s="327">
        <f>'1. Input - Water Balance'!AA198</f>
        <v>0</v>
      </c>
      <c r="V12" s="327">
        <f>'1. Input - Water Balance'!AB198</f>
        <v>0</v>
      </c>
      <c r="W12" s="323"/>
      <c r="X12" s="326" t="e">
        <f>#REF!</f>
        <v>#REF!</v>
      </c>
      <c r="Y12" s="326" t="e">
        <f>#REF!</f>
        <v>#REF!</v>
      </c>
      <c r="Z12" s="326" t="e">
        <f>#REF!</f>
        <v>#REF!</v>
      </c>
      <c r="AA12" s="326" t="e">
        <f>#REF!</f>
        <v>#REF!</v>
      </c>
      <c r="AB12" s="326" t="e">
        <f>#REF!</f>
        <v>#REF!</v>
      </c>
      <c r="AC12" s="326" t="e">
        <f>#REF!</f>
        <v>#REF!</v>
      </c>
      <c r="AD12" s="326" t="e">
        <f>#REF!</f>
        <v>#REF!</v>
      </c>
      <c r="AE12" s="326" t="e">
        <f>#REF!</f>
        <v>#REF!</v>
      </c>
      <c r="AF12" s="326" t="e">
        <f>#REF!</f>
        <v>#REF!</v>
      </c>
      <c r="AG12" s="326" t="e">
        <f>#REF!</f>
        <v>#REF!</v>
      </c>
      <c r="AH12" s="326" t="e">
        <f>#REF!</f>
        <v>#REF!</v>
      </c>
      <c r="AI12" s="326" t="e">
        <f>#REF!</f>
        <v>#REF!</v>
      </c>
      <c r="AJ12" s="323"/>
      <c r="AK12" s="327" t="e">
        <f>#REF!</f>
        <v>#REF!</v>
      </c>
      <c r="AL12" s="327" t="e">
        <f>#REF!</f>
        <v>#REF!</v>
      </c>
      <c r="AM12" s="327" t="e">
        <f>#REF!</f>
        <v>#REF!</v>
      </c>
      <c r="AN12" s="327" t="e">
        <f>#REF!</f>
        <v>#REF!</v>
      </c>
      <c r="AO12" s="327" t="e">
        <f>#REF!</f>
        <v>#REF!</v>
      </c>
      <c r="AP12" s="327" t="e">
        <f>#REF!</f>
        <v>#REF!</v>
      </c>
      <c r="AQ12" s="327" t="e">
        <f>#REF!</f>
        <v>#REF!</v>
      </c>
      <c r="AR12" s="327" t="e">
        <f>#REF!</f>
        <v>#REF!</v>
      </c>
      <c r="AS12" s="327" t="e">
        <f>#REF!</f>
        <v>#REF!</v>
      </c>
      <c r="AT12" s="327" t="e">
        <f>#REF!</f>
        <v>#REF!</v>
      </c>
      <c r="AU12" s="327" t="e">
        <f>#REF!</f>
        <v>#REF!</v>
      </c>
      <c r="AV12" s="327" t="e">
        <f>#REF!</f>
        <v>#REF!</v>
      </c>
    </row>
    <row r="13" spans="1:48" ht="41.25" customHeight="1">
      <c r="A13" s="593" t="s">
        <v>933</v>
      </c>
      <c r="B13" s="437" t="s">
        <v>321</v>
      </c>
      <c r="C13" s="708">
        <f>SUM(K13:V13)</f>
        <v>0</v>
      </c>
      <c r="D13" s="602">
        <f t="shared" si="0"/>
        <v>0</v>
      </c>
      <c r="E13" s="741"/>
      <c r="F13" s="361">
        <f>IF(C13&gt;0,1,0)</f>
        <v>0</v>
      </c>
      <c r="G13" s="361"/>
      <c r="H13" s="361"/>
      <c r="I13" s="361"/>
      <c r="J13" s="321"/>
      <c r="K13" s="327">
        <f>'1. Input - Water Balance'!$Q$200</f>
        <v>0</v>
      </c>
      <c r="L13" s="327">
        <f>'1. Input - Water Balance'!R200</f>
        <v>0</v>
      </c>
      <c r="M13" s="327">
        <f>'1. Input - Water Balance'!S200</f>
        <v>0</v>
      </c>
      <c r="N13" s="327">
        <f>'1. Input - Water Balance'!T200</f>
        <v>0</v>
      </c>
      <c r="O13" s="327">
        <f>'1. Input - Water Balance'!U200</f>
        <v>0</v>
      </c>
      <c r="P13" s="327">
        <f>'1. Input - Water Balance'!V200</f>
        <v>0</v>
      </c>
      <c r="Q13" s="327">
        <f>'1. Input - Water Balance'!W200</f>
        <v>0</v>
      </c>
      <c r="R13" s="327">
        <f>'1. Input - Water Balance'!X200</f>
        <v>0</v>
      </c>
      <c r="S13" s="327">
        <f>'1. Input - Water Balance'!Y200</f>
        <v>0</v>
      </c>
      <c r="T13" s="327">
        <f>'1. Input - Water Balance'!Z200</f>
        <v>0</v>
      </c>
      <c r="U13" s="327">
        <f>'1. Input - Water Balance'!AA200</f>
        <v>0</v>
      </c>
      <c r="V13" s="327">
        <f>'1. Input - Water Balance'!AB200</f>
        <v>0</v>
      </c>
      <c r="W13" s="323"/>
      <c r="X13" s="326" t="e">
        <f>#REF!</f>
        <v>#REF!</v>
      </c>
      <c r="Y13" s="326" t="e">
        <f>#REF!</f>
        <v>#REF!</v>
      </c>
      <c r="Z13" s="326" t="e">
        <f>#REF!</f>
        <v>#REF!</v>
      </c>
      <c r="AA13" s="326" t="e">
        <f>#REF!</f>
        <v>#REF!</v>
      </c>
      <c r="AB13" s="326" t="e">
        <f>#REF!</f>
        <v>#REF!</v>
      </c>
      <c r="AC13" s="326" t="e">
        <f>#REF!</f>
        <v>#REF!</v>
      </c>
      <c r="AD13" s="326" t="e">
        <f>#REF!</f>
        <v>#REF!</v>
      </c>
      <c r="AE13" s="326" t="e">
        <f>#REF!</f>
        <v>#REF!</v>
      </c>
      <c r="AF13" s="326" t="e">
        <f>#REF!</f>
        <v>#REF!</v>
      </c>
      <c r="AG13" s="326" t="e">
        <f>#REF!</f>
        <v>#REF!</v>
      </c>
      <c r="AH13" s="326" t="e">
        <f>#REF!</f>
        <v>#REF!</v>
      </c>
      <c r="AI13" s="326" t="e">
        <f>#REF!</f>
        <v>#REF!</v>
      </c>
      <c r="AJ13" s="323"/>
      <c r="AK13" s="327" t="e">
        <f>#REF!</f>
        <v>#REF!</v>
      </c>
      <c r="AL13" s="327" t="e">
        <f>#REF!</f>
        <v>#REF!</v>
      </c>
      <c r="AM13" s="327" t="e">
        <f>#REF!</f>
        <v>#REF!</v>
      </c>
      <c r="AN13" s="327" t="e">
        <f>#REF!</f>
        <v>#REF!</v>
      </c>
      <c r="AO13" s="327" t="e">
        <f>#REF!</f>
        <v>#REF!</v>
      </c>
      <c r="AP13" s="327" t="e">
        <f>#REF!</f>
        <v>#REF!</v>
      </c>
      <c r="AQ13" s="327" t="e">
        <f>#REF!</f>
        <v>#REF!</v>
      </c>
      <c r="AR13" s="327" t="e">
        <f>#REF!</f>
        <v>#REF!</v>
      </c>
      <c r="AS13" s="327" t="e">
        <f>#REF!</f>
        <v>#REF!</v>
      </c>
      <c r="AT13" s="327" t="e">
        <f>#REF!</f>
        <v>#REF!</v>
      </c>
      <c r="AU13" s="327" t="e">
        <f>#REF!</f>
        <v>#REF!</v>
      </c>
      <c r="AV13" s="327" t="e">
        <f>#REF!</f>
        <v>#REF!</v>
      </c>
    </row>
    <row r="14" spans="1:48" ht="23.25" customHeight="1">
      <c r="A14" s="591" t="s">
        <v>934</v>
      </c>
      <c r="B14" s="437" t="s">
        <v>321</v>
      </c>
      <c r="C14" s="709" t="e">
        <f>'1. Input - Water Balance'!F161</f>
        <v>#DIV/0!</v>
      </c>
      <c r="D14" s="602" t="e">
        <f t="shared" si="0"/>
        <v>#DIV/0!</v>
      </c>
      <c r="E14" s="600" t="e">
        <f>SQRT(E19^2*C19^2+E20^2*C20^2+E11^2*C11^2+E33^2*C33^2)/(C19+C20+C11+C33)</f>
        <v>#DIV/0!</v>
      </c>
      <c r="F14" s="361" t="e">
        <f>IF(C14&gt;0,1,0)</f>
        <v>#DIV/0!</v>
      </c>
      <c r="G14" s="361"/>
      <c r="H14" s="361"/>
      <c r="I14" s="361"/>
      <c r="J14" s="321"/>
      <c r="K14" s="321"/>
      <c r="L14" s="321"/>
      <c r="M14" s="321"/>
      <c r="N14" s="321"/>
      <c r="O14" s="321"/>
      <c r="P14" s="321"/>
      <c r="Q14" s="321"/>
      <c r="R14" s="321"/>
      <c r="S14" s="321"/>
      <c r="T14" s="321"/>
      <c r="U14" s="321"/>
      <c r="V14" s="321"/>
      <c r="W14" s="323"/>
      <c r="X14" s="321"/>
      <c r="Y14" s="321"/>
      <c r="Z14" s="321"/>
      <c r="AA14" s="321"/>
      <c r="AB14" s="321"/>
      <c r="AC14" s="321"/>
      <c r="AD14" s="321"/>
      <c r="AE14" s="321"/>
      <c r="AF14" s="321"/>
      <c r="AG14" s="321"/>
      <c r="AH14" s="321"/>
      <c r="AI14" s="321"/>
      <c r="AJ14" s="323"/>
      <c r="AK14" s="321"/>
      <c r="AL14" s="321"/>
      <c r="AM14" s="321"/>
      <c r="AN14" s="321"/>
      <c r="AO14" s="321"/>
      <c r="AP14" s="321"/>
      <c r="AQ14" s="321"/>
      <c r="AR14" s="321"/>
      <c r="AS14" s="321"/>
      <c r="AT14" s="321"/>
      <c r="AU14" s="321"/>
      <c r="AV14" s="321"/>
    </row>
    <row r="15" spans="1:48" ht="36">
      <c r="A15" s="591" t="s">
        <v>1282</v>
      </c>
      <c r="B15" s="437" t="s">
        <v>321</v>
      </c>
      <c r="C15" s="708" t="e">
        <f>C11+C12+C14</f>
        <v>#DIV/0!</v>
      </c>
      <c r="D15" s="602" t="e">
        <f t="shared" si="0"/>
        <v>#DIV/0!</v>
      </c>
      <c r="E15" s="600" t="e">
        <f>(SQRT(D11^2*E11^2+D13^2*E13^2+D14^2*E14^2))/(D11+D13+D14)</f>
        <v>#DIV/0!</v>
      </c>
      <c r="F15" s="361" t="e">
        <f>IF(C15&gt;0,1,0)</f>
        <v>#DIV/0!</v>
      </c>
      <c r="G15" s="361"/>
      <c r="H15" s="361"/>
      <c r="I15" s="361"/>
      <c r="J15" s="321"/>
      <c r="K15" s="328" t="e">
        <f>K12+K11+$C14*K11/$C11</f>
        <v>#DIV/0!</v>
      </c>
      <c r="L15" s="328" t="e">
        <f>L12+L11+$C14*L11/$C11</f>
        <v>#DIV/0!</v>
      </c>
      <c r="M15" s="328" t="e">
        <f aca="true" t="shared" si="1" ref="M15:V15">M12+M11+$C14*M11/$C11</f>
        <v>#DIV/0!</v>
      </c>
      <c r="N15" s="328" t="e">
        <f t="shared" si="1"/>
        <v>#DIV/0!</v>
      </c>
      <c r="O15" s="328" t="e">
        <f t="shared" si="1"/>
        <v>#DIV/0!</v>
      </c>
      <c r="P15" s="328" t="e">
        <f t="shared" si="1"/>
        <v>#DIV/0!</v>
      </c>
      <c r="Q15" s="328" t="e">
        <f t="shared" si="1"/>
        <v>#DIV/0!</v>
      </c>
      <c r="R15" s="328" t="e">
        <f t="shared" si="1"/>
        <v>#DIV/0!</v>
      </c>
      <c r="S15" s="328" t="e">
        <f t="shared" si="1"/>
        <v>#DIV/0!</v>
      </c>
      <c r="T15" s="328" t="e">
        <f t="shared" si="1"/>
        <v>#DIV/0!</v>
      </c>
      <c r="U15" s="328" t="e">
        <f t="shared" si="1"/>
        <v>#DIV/0!</v>
      </c>
      <c r="V15" s="328" t="e">
        <f t="shared" si="1"/>
        <v>#DIV/0!</v>
      </c>
      <c r="W15" s="323"/>
      <c r="X15" s="329" t="e">
        <f>X12+X11+#REF!*X11/#REF!</f>
        <v>#REF!</v>
      </c>
      <c r="Y15" s="329" t="e">
        <f>Y12+Y11+#REF!*Y11/#REF!</f>
        <v>#REF!</v>
      </c>
      <c r="Z15" s="329" t="e">
        <f>Z12+Z11+#REF!*Z11/#REF!</f>
        <v>#REF!</v>
      </c>
      <c r="AA15" s="329" t="e">
        <f>AA12+AA11+#REF!*AA11/#REF!</f>
        <v>#REF!</v>
      </c>
      <c r="AB15" s="329" t="e">
        <f>AB12+AB11+#REF!*AB11/#REF!</f>
        <v>#REF!</v>
      </c>
      <c r="AC15" s="329" t="e">
        <f>AC12+AC11+#REF!*AC11/#REF!</f>
        <v>#REF!</v>
      </c>
      <c r="AD15" s="329" t="e">
        <f>AD12+AD11+#REF!*AD11/#REF!</f>
        <v>#REF!</v>
      </c>
      <c r="AE15" s="329" t="e">
        <f>AE12+AE11+#REF!*AE11/#REF!</f>
        <v>#REF!</v>
      </c>
      <c r="AF15" s="329" t="e">
        <f>AF12+AF11+#REF!*AF11/#REF!</f>
        <v>#REF!</v>
      </c>
      <c r="AG15" s="329" t="e">
        <f>AG12+AG11+#REF!*AG11/#REF!</f>
        <v>#REF!</v>
      </c>
      <c r="AH15" s="329" t="e">
        <f>AH12+AH11+#REF!*AH11/#REF!</f>
        <v>#REF!</v>
      </c>
      <c r="AI15" s="329" t="e">
        <f>AI12+AI11+#REF!*AI11/#REF!</f>
        <v>#REF!</v>
      </c>
      <c r="AJ15" s="323"/>
      <c r="AK15" s="329" t="e">
        <f>AK12+AK11+#REF!*AK11/#REF!</f>
        <v>#REF!</v>
      </c>
      <c r="AL15" s="329" t="e">
        <f>AL12+AL11+#REF!*AL11/#REF!</f>
        <v>#REF!</v>
      </c>
      <c r="AM15" s="329" t="e">
        <f>AM12+AM11+#REF!*AM11/#REF!</f>
        <v>#REF!</v>
      </c>
      <c r="AN15" s="329" t="e">
        <f>AN12+AN11+#REF!*AN11/#REF!</f>
        <v>#REF!</v>
      </c>
      <c r="AO15" s="329" t="e">
        <f>AO12+AO11+#REF!*AO11/#REF!</f>
        <v>#REF!</v>
      </c>
      <c r="AP15" s="329" t="e">
        <f>AP12+AP11+#REF!*AP11/#REF!</f>
        <v>#REF!</v>
      </c>
      <c r="AQ15" s="329" t="e">
        <f>AQ12+AQ11+#REF!*AQ11/#REF!</f>
        <v>#REF!</v>
      </c>
      <c r="AR15" s="329" t="e">
        <f>AR12+AR11+#REF!*AR11/#REF!</f>
        <v>#REF!</v>
      </c>
      <c r="AS15" s="329" t="e">
        <f>AS12+AS11+#REF!*AS11/#REF!</f>
        <v>#REF!</v>
      </c>
      <c r="AT15" s="329" t="e">
        <f>AT12+AT11+#REF!*AT11/#REF!</f>
        <v>#REF!</v>
      </c>
      <c r="AU15" s="329" t="e">
        <f>AU12+AU11+#REF!*AU11/#REF!</f>
        <v>#REF!</v>
      </c>
      <c r="AV15" s="329" t="e">
        <f>AV12+AV11+#REF!*AV11/#REF!</f>
        <v>#REF!</v>
      </c>
    </row>
    <row r="16" spans="1:48" ht="18">
      <c r="A16" s="591" t="s">
        <v>221</v>
      </c>
      <c r="B16" s="723" t="s">
        <v>321</v>
      </c>
      <c r="C16" s="708" t="e">
        <f>C11+C14</f>
        <v>#DIV/0!</v>
      </c>
      <c r="D16" s="602" t="e">
        <f t="shared" si="0"/>
        <v>#DIV/0!</v>
      </c>
      <c r="E16" s="600" t="e">
        <f>(SQRT(((E11^2)*C11^2)+(E14^2*C14^2)))/(C14+C11)</f>
        <v>#DIV/0!</v>
      </c>
      <c r="F16" s="361"/>
      <c r="G16" s="361"/>
      <c r="H16" s="361"/>
      <c r="I16" s="361"/>
      <c r="J16" s="321"/>
      <c r="K16" s="328"/>
      <c r="L16" s="328"/>
      <c r="M16" s="328"/>
      <c r="N16" s="328"/>
      <c r="O16" s="328"/>
      <c r="P16" s="328"/>
      <c r="Q16" s="328"/>
      <c r="R16" s="328"/>
      <c r="S16" s="328"/>
      <c r="T16" s="328"/>
      <c r="U16" s="328"/>
      <c r="V16" s="328"/>
      <c r="W16" s="323"/>
      <c r="X16" s="329"/>
      <c r="Y16" s="329"/>
      <c r="Z16" s="329"/>
      <c r="AA16" s="329"/>
      <c r="AB16" s="329"/>
      <c r="AC16" s="329"/>
      <c r="AD16" s="329"/>
      <c r="AE16" s="329"/>
      <c r="AF16" s="329"/>
      <c r="AG16" s="329"/>
      <c r="AH16" s="329"/>
      <c r="AI16" s="329"/>
      <c r="AJ16" s="323"/>
      <c r="AK16" s="329"/>
      <c r="AL16" s="329"/>
      <c r="AM16" s="329"/>
      <c r="AN16" s="329"/>
      <c r="AO16" s="329"/>
      <c r="AP16" s="329"/>
      <c r="AQ16" s="329"/>
      <c r="AR16" s="329"/>
      <c r="AS16" s="329"/>
      <c r="AT16" s="329"/>
      <c r="AU16" s="329"/>
      <c r="AV16" s="329"/>
    </row>
    <row r="17" spans="1:48" ht="18">
      <c r="A17" s="594" t="s">
        <v>1074</v>
      </c>
      <c r="B17" s="723"/>
      <c r="C17" s="710"/>
      <c r="D17" s="602"/>
      <c r="E17" s="600"/>
      <c r="F17" s="362"/>
      <c r="G17" s="362"/>
      <c r="H17" s="362"/>
      <c r="I17" s="362"/>
      <c r="J17" s="321"/>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row>
    <row r="18" spans="1:48" ht="36">
      <c r="A18" s="591" t="s">
        <v>1283</v>
      </c>
      <c r="B18" s="723" t="s">
        <v>321</v>
      </c>
      <c r="C18" s="708">
        <f>'1. Input - Water Balance'!O85</f>
        <v>0</v>
      </c>
      <c r="D18" s="602">
        <f aca="true" t="shared" si="2" ref="D18:D24">C18</f>
        <v>0</v>
      </c>
      <c r="E18" s="599"/>
      <c r="F18" s="361">
        <f>IF(C18&gt;0,1,0)</f>
        <v>0</v>
      </c>
      <c r="G18" s="361"/>
      <c r="H18" s="361"/>
      <c r="I18" s="361"/>
      <c r="J18" s="321"/>
      <c r="K18" s="324">
        <f>'1. Input - Water Balance'!$C85</f>
        <v>0</v>
      </c>
      <c r="L18" s="324">
        <f>'1. Input - Water Balance'!D85</f>
        <v>0</v>
      </c>
      <c r="M18" s="324">
        <f>'1. Input - Water Balance'!E85</f>
        <v>0</v>
      </c>
      <c r="N18" s="324">
        <f>'1. Input - Water Balance'!F85</f>
        <v>0</v>
      </c>
      <c r="O18" s="324">
        <f>'1. Input - Water Balance'!G85</f>
        <v>0</v>
      </c>
      <c r="P18" s="324">
        <f>'1. Input - Water Balance'!H85</f>
        <v>0</v>
      </c>
      <c r="Q18" s="324">
        <f>'1. Input - Water Balance'!I85</f>
        <v>0</v>
      </c>
      <c r="R18" s="324">
        <f>'1. Input - Water Balance'!J85</f>
        <v>0</v>
      </c>
      <c r="S18" s="324">
        <f>'1. Input - Water Balance'!K85</f>
        <v>0</v>
      </c>
      <c r="T18" s="324">
        <f>'1. Input - Water Balance'!L85</f>
        <v>0</v>
      </c>
      <c r="U18" s="324">
        <f>'1. Input - Water Balance'!M85</f>
        <v>0</v>
      </c>
      <c r="V18" s="324">
        <f>'1. Input - Water Balance'!N85</f>
        <v>0</v>
      </c>
      <c r="W18" s="323"/>
      <c r="X18" s="326" t="e">
        <f>#REF!</f>
        <v>#REF!</v>
      </c>
      <c r="Y18" s="326" t="e">
        <f>#REF!</f>
        <v>#REF!</v>
      </c>
      <c r="Z18" s="326" t="e">
        <f>#REF!</f>
        <v>#REF!</v>
      </c>
      <c r="AA18" s="326" t="e">
        <f>#REF!</f>
        <v>#REF!</v>
      </c>
      <c r="AB18" s="326" t="e">
        <f>#REF!</f>
        <v>#REF!</v>
      </c>
      <c r="AC18" s="326" t="e">
        <f>#REF!</f>
        <v>#REF!</v>
      </c>
      <c r="AD18" s="326" t="e">
        <f>#REF!</f>
        <v>#REF!</v>
      </c>
      <c r="AE18" s="326" t="e">
        <f>#REF!</f>
        <v>#REF!</v>
      </c>
      <c r="AF18" s="326" t="e">
        <f>#REF!</f>
        <v>#REF!</v>
      </c>
      <c r="AG18" s="326" t="e">
        <f>#REF!</f>
        <v>#REF!</v>
      </c>
      <c r="AH18" s="326" t="e">
        <f>#REF!</f>
        <v>#REF!</v>
      </c>
      <c r="AI18" s="326" t="e">
        <f>#REF!</f>
        <v>#REF!</v>
      </c>
      <c r="AJ18" s="323"/>
      <c r="AK18" s="324" t="e">
        <f>#REF!</f>
        <v>#REF!</v>
      </c>
      <c r="AL18" s="324" t="e">
        <f>#REF!</f>
        <v>#REF!</v>
      </c>
      <c r="AM18" s="324" t="e">
        <f>#REF!</f>
        <v>#REF!</v>
      </c>
      <c r="AN18" s="324" t="e">
        <f>#REF!</f>
        <v>#REF!</v>
      </c>
      <c r="AO18" s="324" t="e">
        <f>#REF!</f>
        <v>#REF!</v>
      </c>
      <c r="AP18" s="324" t="e">
        <f>#REF!</f>
        <v>#REF!</v>
      </c>
      <c r="AQ18" s="324" t="e">
        <f>#REF!</f>
        <v>#REF!</v>
      </c>
      <c r="AR18" s="324" t="e">
        <f>#REF!</f>
        <v>#REF!</v>
      </c>
      <c r="AS18" s="324" t="e">
        <f>#REF!</f>
        <v>#REF!</v>
      </c>
      <c r="AT18" s="324" t="e">
        <f>#REF!</f>
        <v>#REF!</v>
      </c>
      <c r="AU18" s="324" t="e">
        <f>#REF!</f>
        <v>#REF!</v>
      </c>
      <c r="AV18" s="324" t="e">
        <f>#REF!</f>
        <v>#REF!</v>
      </c>
    </row>
    <row r="19" spans="1:48" ht="21" customHeight="1">
      <c r="A19" s="591" t="s">
        <v>1284</v>
      </c>
      <c r="B19" s="723" t="s">
        <v>321</v>
      </c>
      <c r="C19" s="708">
        <f>SUM(K19:V19)</f>
        <v>0</v>
      </c>
      <c r="D19" s="602">
        <f>IF(C19=0,0.00001,C19)</f>
        <v>1E-05</v>
      </c>
      <c r="E19" s="599"/>
      <c r="F19" s="361">
        <f>IF(C19&gt;0,1,0)</f>
        <v>0</v>
      </c>
      <c r="G19" s="361"/>
      <c r="H19" s="361"/>
      <c r="I19" s="361"/>
      <c r="J19" s="321"/>
      <c r="K19" s="324">
        <f>'1. Input - Water Balance'!$C135</f>
        <v>0</v>
      </c>
      <c r="L19" s="324">
        <f>'1. Input - Water Balance'!D135</f>
        <v>0</v>
      </c>
      <c r="M19" s="324">
        <f>'1. Input - Water Balance'!E135</f>
        <v>0</v>
      </c>
      <c r="N19" s="324">
        <f>'1. Input - Water Balance'!F135</f>
        <v>0</v>
      </c>
      <c r="O19" s="324">
        <f>'1. Input - Water Balance'!G135</f>
        <v>0</v>
      </c>
      <c r="P19" s="324">
        <f>'1. Input - Water Balance'!H135</f>
        <v>0</v>
      </c>
      <c r="Q19" s="324">
        <f>'1. Input - Water Balance'!I135</f>
        <v>0</v>
      </c>
      <c r="R19" s="324">
        <f>'1. Input - Water Balance'!J135</f>
        <v>0</v>
      </c>
      <c r="S19" s="324">
        <f>'1. Input - Water Balance'!K135</f>
        <v>0</v>
      </c>
      <c r="T19" s="324">
        <f>'1. Input - Water Balance'!L135</f>
        <v>0</v>
      </c>
      <c r="U19" s="324">
        <f>'1. Input - Water Balance'!M135</f>
        <v>0</v>
      </c>
      <c r="V19" s="324">
        <f>'1. Input - Water Balance'!N135</f>
        <v>0</v>
      </c>
      <c r="W19" s="323"/>
      <c r="X19" s="326" t="e">
        <f>#REF!</f>
        <v>#REF!</v>
      </c>
      <c r="Y19" s="326" t="e">
        <f>#REF!</f>
        <v>#REF!</v>
      </c>
      <c r="Z19" s="326" t="e">
        <f>#REF!</f>
        <v>#REF!</v>
      </c>
      <c r="AA19" s="326" t="e">
        <f>#REF!</f>
        <v>#REF!</v>
      </c>
      <c r="AB19" s="326" t="e">
        <f>#REF!</f>
        <v>#REF!</v>
      </c>
      <c r="AC19" s="326" t="e">
        <f>#REF!</f>
        <v>#REF!</v>
      </c>
      <c r="AD19" s="326" t="e">
        <f>#REF!</f>
        <v>#REF!</v>
      </c>
      <c r="AE19" s="326" t="e">
        <f>#REF!</f>
        <v>#REF!</v>
      </c>
      <c r="AF19" s="326" t="e">
        <f>#REF!</f>
        <v>#REF!</v>
      </c>
      <c r="AG19" s="326" t="e">
        <f>#REF!</f>
        <v>#REF!</v>
      </c>
      <c r="AH19" s="326" t="e">
        <f>#REF!</f>
        <v>#REF!</v>
      </c>
      <c r="AI19" s="326" t="e">
        <f>#REF!</f>
        <v>#REF!</v>
      </c>
      <c r="AJ19" s="323"/>
      <c r="AK19" s="324" t="e">
        <f>#REF!</f>
        <v>#REF!</v>
      </c>
      <c r="AL19" s="324" t="e">
        <f>#REF!</f>
        <v>#REF!</v>
      </c>
      <c r="AM19" s="324" t="e">
        <f>#REF!</f>
        <v>#REF!</v>
      </c>
      <c r="AN19" s="324" t="e">
        <f>#REF!</f>
        <v>#REF!</v>
      </c>
      <c r="AO19" s="324" t="e">
        <f>#REF!</f>
        <v>#REF!</v>
      </c>
      <c r="AP19" s="324" t="e">
        <f>#REF!</f>
        <v>#REF!</v>
      </c>
      <c r="AQ19" s="324" t="e">
        <f>#REF!</f>
        <v>#REF!</v>
      </c>
      <c r="AR19" s="324" t="e">
        <f>#REF!</f>
        <v>#REF!</v>
      </c>
      <c r="AS19" s="324" t="e">
        <f>#REF!</f>
        <v>#REF!</v>
      </c>
      <c r="AT19" s="324" t="e">
        <f>#REF!</f>
        <v>#REF!</v>
      </c>
      <c r="AU19" s="324" t="e">
        <f>#REF!</f>
        <v>#REF!</v>
      </c>
      <c r="AV19" s="324" t="e">
        <f>#REF!</f>
        <v>#REF!</v>
      </c>
    </row>
    <row r="20" spans="1:48" ht="38.25" customHeight="1">
      <c r="A20" s="591" t="s">
        <v>1286</v>
      </c>
      <c r="B20" s="723" t="s">
        <v>321</v>
      </c>
      <c r="C20" s="708">
        <f>'1. Input - Water Balance'!O136+'1. Input - Water Balance'!O138</f>
        <v>0</v>
      </c>
      <c r="D20" s="602">
        <f t="shared" si="2"/>
        <v>0</v>
      </c>
      <c r="E20" s="599"/>
      <c r="F20" s="361"/>
      <c r="G20" s="361"/>
      <c r="H20" s="361"/>
      <c r="I20" s="361"/>
      <c r="J20" s="321"/>
      <c r="K20" s="324"/>
      <c r="L20" s="324"/>
      <c r="M20" s="324"/>
      <c r="N20" s="324"/>
      <c r="O20" s="324"/>
      <c r="P20" s="324"/>
      <c r="Q20" s="324"/>
      <c r="R20" s="324"/>
      <c r="S20" s="324"/>
      <c r="T20" s="324"/>
      <c r="U20" s="324"/>
      <c r="V20" s="324"/>
      <c r="W20" s="323"/>
      <c r="X20" s="326"/>
      <c r="Y20" s="326"/>
      <c r="Z20" s="326"/>
      <c r="AA20" s="326"/>
      <c r="AB20" s="326"/>
      <c r="AC20" s="326"/>
      <c r="AD20" s="326"/>
      <c r="AE20" s="326"/>
      <c r="AF20" s="326"/>
      <c r="AG20" s="326"/>
      <c r="AH20" s="326"/>
      <c r="AI20" s="326"/>
      <c r="AJ20" s="323"/>
      <c r="AK20" s="324"/>
      <c r="AL20" s="324"/>
      <c r="AM20" s="324"/>
      <c r="AN20" s="324"/>
      <c r="AO20" s="324"/>
      <c r="AP20" s="324"/>
      <c r="AQ20" s="324"/>
      <c r="AR20" s="324"/>
      <c r="AS20" s="324"/>
      <c r="AT20" s="324"/>
      <c r="AU20" s="324"/>
      <c r="AV20" s="324"/>
    </row>
    <row r="21" spans="1:48" ht="38.25" customHeight="1">
      <c r="A21" s="725" t="s">
        <v>1048</v>
      </c>
      <c r="B21" s="723" t="s">
        <v>321</v>
      </c>
      <c r="C21" s="708">
        <f>C20+C11+'1. Input - Water Balance'!O84</f>
        <v>0</v>
      </c>
      <c r="D21" s="602">
        <f t="shared" si="2"/>
        <v>0</v>
      </c>
      <c r="E21" s="720" t="e">
        <f>SQRT(E20^2*C20^2+E11^2*C11^2)/(C20+C11)</f>
        <v>#DIV/0!</v>
      </c>
      <c r="F21" s="361"/>
      <c r="G21" s="361"/>
      <c r="H21" s="361"/>
      <c r="I21" s="361"/>
      <c r="J21" s="321"/>
      <c r="K21" s="324"/>
      <c r="L21" s="324"/>
      <c r="M21" s="324"/>
      <c r="N21" s="324"/>
      <c r="O21" s="324"/>
      <c r="P21" s="324"/>
      <c r="Q21" s="324"/>
      <c r="R21" s="324"/>
      <c r="S21" s="324"/>
      <c r="T21" s="324"/>
      <c r="U21" s="324"/>
      <c r="V21" s="324"/>
      <c r="W21" s="323"/>
      <c r="X21" s="326"/>
      <c r="Y21" s="326"/>
      <c r="Z21" s="326"/>
      <c r="AA21" s="326"/>
      <c r="AB21" s="326"/>
      <c r="AC21" s="326"/>
      <c r="AD21" s="326"/>
      <c r="AE21" s="326"/>
      <c r="AF21" s="326"/>
      <c r="AG21" s="326"/>
      <c r="AH21" s="326"/>
      <c r="AI21" s="326"/>
      <c r="AJ21" s="323"/>
      <c r="AK21" s="324"/>
      <c r="AL21" s="324"/>
      <c r="AM21" s="324"/>
      <c r="AN21" s="324"/>
      <c r="AO21" s="324"/>
      <c r="AP21" s="324"/>
      <c r="AQ21" s="324"/>
      <c r="AR21" s="324"/>
      <c r="AS21" s="324"/>
      <c r="AT21" s="324"/>
      <c r="AU21" s="324"/>
      <c r="AV21" s="324"/>
    </row>
    <row r="22" spans="1:48" ht="38.25" customHeight="1">
      <c r="A22" s="591" t="s">
        <v>1293</v>
      </c>
      <c r="B22" s="723" t="s">
        <v>321</v>
      </c>
      <c r="C22" s="708">
        <f>C19+C20</f>
        <v>0</v>
      </c>
      <c r="D22" s="602">
        <f t="shared" si="2"/>
        <v>0</v>
      </c>
      <c r="E22" s="720">
        <f>SQRT(D20^2*E20^2+D19^2*E19^2)/(D20+D19)</f>
        <v>0</v>
      </c>
      <c r="F22" s="361"/>
      <c r="G22" s="361"/>
      <c r="H22" s="361"/>
      <c r="I22" s="361"/>
      <c r="J22" s="321"/>
      <c r="K22" s="324"/>
      <c r="L22" s="324"/>
      <c r="M22" s="324"/>
      <c r="N22" s="324"/>
      <c r="O22" s="324"/>
      <c r="P22" s="324"/>
      <c r="Q22" s="324"/>
      <c r="R22" s="324"/>
      <c r="S22" s="324"/>
      <c r="T22" s="324"/>
      <c r="U22" s="324"/>
      <c r="V22" s="324"/>
      <c r="W22" s="323"/>
      <c r="X22" s="326"/>
      <c r="Y22" s="326"/>
      <c r="Z22" s="326"/>
      <c r="AA22" s="326"/>
      <c r="AB22" s="326"/>
      <c r="AC22" s="326"/>
      <c r="AD22" s="326"/>
      <c r="AE22" s="326"/>
      <c r="AF22" s="326"/>
      <c r="AG22" s="326"/>
      <c r="AH22" s="326"/>
      <c r="AI22" s="326"/>
      <c r="AJ22" s="323"/>
      <c r="AK22" s="324"/>
      <c r="AL22" s="324"/>
      <c r="AM22" s="324"/>
      <c r="AN22" s="324"/>
      <c r="AO22" s="324"/>
      <c r="AP22" s="324"/>
      <c r="AQ22" s="324"/>
      <c r="AR22" s="324"/>
      <c r="AS22" s="324"/>
      <c r="AT22" s="324"/>
      <c r="AU22" s="324"/>
      <c r="AV22" s="324"/>
    </row>
    <row r="23" spans="1:48" ht="72">
      <c r="A23" s="591" t="s">
        <v>1285</v>
      </c>
      <c r="B23" s="723" t="s">
        <v>321</v>
      </c>
      <c r="C23" s="708" t="e">
        <f>'1. Input - Water Balance'!O136+'1. Input - Water Balance'!O138-C14</f>
        <v>#DIV/0!</v>
      </c>
      <c r="D23" s="602" t="e">
        <f t="shared" si="2"/>
        <v>#DIV/0!</v>
      </c>
      <c r="E23" s="600" t="e">
        <f>(((C20)^2*(E20)^2+(C14)^2*(E14)^2)^0.5)/(C20+C14)</f>
        <v>#DIV/0!</v>
      </c>
      <c r="F23" s="361" t="e">
        <f>IF(C23&gt;0,1,0)</f>
        <v>#DIV/0!</v>
      </c>
      <c r="G23" s="361"/>
      <c r="H23" s="361"/>
      <c r="I23" s="361"/>
      <c r="J23" s="321"/>
      <c r="K23" s="324">
        <f>'1. Input - Water Balance'!$C136</f>
        <v>0</v>
      </c>
      <c r="L23" s="324">
        <f>'1. Input - Water Balance'!D136</f>
        <v>0</v>
      </c>
      <c r="M23" s="324">
        <f>'1. Input - Water Balance'!E136</f>
        <v>0</v>
      </c>
      <c r="N23" s="324">
        <f>'1. Input - Water Balance'!F136</f>
        <v>0</v>
      </c>
      <c r="O23" s="324">
        <f>'1. Input - Water Balance'!G136</f>
        <v>0</v>
      </c>
      <c r="P23" s="324">
        <f>'1. Input - Water Balance'!H136</f>
        <v>0</v>
      </c>
      <c r="Q23" s="324">
        <f>'1. Input - Water Balance'!I136</f>
        <v>0</v>
      </c>
      <c r="R23" s="324">
        <f>'1. Input - Water Balance'!J136</f>
        <v>0</v>
      </c>
      <c r="S23" s="324">
        <f>'1. Input - Water Balance'!K136</f>
        <v>0</v>
      </c>
      <c r="T23" s="324">
        <f>'1. Input - Water Balance'!L136</f>
        <v>0</v>
      </c>
      <c r="U23" s="324">
        <f>'1. Input - Water Balance'!M136</f>
        <v>0</v>
      </c>
      <c r="V23" s="324">
        <f>'1. Input - Water Balance'!N136</f>
        <v>0</v>
      </c>
      <c r="W23" s="323"/>
      <c r="X23" s="326" t="e">
        <f>#REF!</f>
        <v>#REF!</v>
      </c>
      <c r="Y23" s="326" t="e">
        <f>#REF!</f>
        <v>#REF!</v>
      </c>
      <c r="Z23" s="326" t="e">
        <f>#REF!</f>
        <v>#REF!</v>
      </c>
      <c r="AA23" s="326" t="e">
        <f>#REF!</f>
        <v>#REF!</v>
      </c>
      <c r="AB23" s="326" t="e">
        <f>#REF!</f>
        <v>#REF!</v>
      </c>
      <c r="AC23" s="326" t="e">
        <f>#REF!</f>
        <v>#REF!</v>
      </c>
      <c r="AD23" s="326" t="e">
        <f>#REF!</f>
        <v>#REF!</v>
      </c>
      <c r="AE23" s="326" t="e">
        <f>#REF!</f>
        <v>#REF!</v>
      </c>
      <c r="AF23" s="326" t="e">
        <f>#REF!</f>
        <v>#REF!</v>
      </c>
      <c r="AG23" s="326" t="e">
        <f>#REF!</f>
        <v>#REF!</v>
      </c>
      <c r="AH23" s="326" t="e">
        <f>#REF!</f>
        <v>#REF!</v>
      </c>
      <c r="AI23" s="326" t="e">
        <f>#REF!</f>
        <v>#REF!</v>
      </c>
      <c r="AJ23" s="323"/>
      <c r="AK23" s="324" t="e">
        <f>#REF!</f>
        <v>#REF!</v>
      </c>
      <c r="AL23" s="324" t="e">
        <f>#REF!</f>
        <v>#REF!</v>
      </c>
      <c r="AM23" s="324" t="e">
        <f>#REF!</f>
        <v>#REF!</v>
      </c>
      <c r="AN23" s="324" t="e">
        <f>#REF!</f>
        <v>#REF!</v>
      </c>
      <c r="AO23" s="324" t="e">
        <f>#REF!</f>
        <v>#REF!</v>
      </c>
      <c r="AP23" s="324" t="e">
        <f>#REF!</f>
        <v>#REF!</v>
      </c>
      <c r="AQ23" s="324" t="e">
        <f>#REF!</f>
        <v>#REF!</v>
      </c>
      <c r="AR23" s="324" t="e">
        <f>#REF!</f>
        <v>#REF!</v>
      </c>
      <c r="AS23" s="324" t="e">
        <f>#REF!</f>
        <v>#REF!</v>
      </c>
      <c r="AT23" s="324" t="e">
        <f>#REF!</f>
        <v>#REF!</v>
      </c>
      <c r="AU23" s="324" t="e">
        <f>#REF!</f>
        <v>#REF!</v>
      </c>
      <c r="AV23" s="324" t="e">
        <f>#REF!</f>
        <v>#REF!</v>
      </c>
    </row>
    <row r="24" spans="1:48" ht="18">
      <c r="A24" s="591" t="s">
        <v>778</v>
      </c>
      <c r="B24" s="723" t="s">
        <v>321</v>
      </c>
      <c r="C24" s="708" t="e">
        <f>C23+C18+C19</f>
        <v>#DIV/0!</v>
      </c>
      <c r="D24" s="602" t="e">
        <f t="shared" si="2"/>
        <v>#DIV/0!</v>
      </c>
      <c r="E24" s="600" t="e">
        <f>(SQRT(D18^2*E18^2+D19^2*E19^2+D23^2*E23^2))/(D18+D19+D23)</f>
        <v>#DIV/0!</v>
      </c>
      <c r="F24" s="361" t="e">
        <f>IF(C24&gt;0,1,0)</f>
        <v>#DIV/0!</v>
      </c>
      <c r="G24" s="361"/>
      <c r="H24" s="361"/>
      <c r="I24" s="361"/>
      <c r="J24" s="321"/>
      <c r="K24" s="324"/>
      <c r="L24" s="324"/>
      <c r="M24" s="324"/>
      <c r="N24" s="324"/>
      <c r="O24" s="324"/>
      <c r="P24" s="324"/>
      <c r="Q24" s="324"/>
      <c r="R24" s="324"/>
      <c r="S24" s="324"/>
      <c r="T24" s="324"/>
      <c r="U24" s="324"/>
      <c r="V24" s="324"/>
      <c r="W24" s="323"/>
      <c r="X24" s="326"/>
      <c r="Y24" s="326"/>
      <c r="Z24" s="326"/>
      <c r="AA24" s="326"/>
      <c r="AB24" s="326"/>
      <c r="AC24" s="326"/>
      <c r="AD24" s="326"/>
      <c r="AE24" s="326"/>
      <c r="AF24" s="326"/>
      <c r="AG24" s="326"/>
      <c r="AH24" s="326"/>
      <c r="AI24" s="326"/>
      <c r="AJ24" s="323"/>
      <c r="AK24" s="324"/>
      <c r="AL24" s="324"/>
      <c r="AM24" s="324"/>
      <c r="AN24" s="324"/>
      <c r="AO24" s="324"/>
      <c r="AP24" s="324"/>
      <c r="AQ24" s="324"/>
      <c r="AR24" s="324"/>
      <c r="AS24" s="324"/>
      <c r="AT24" s="324"/>
      <c r="AU24" s="324"/>
      <c r="AV24" s="324"/>
    </row>
    <row r="25" spans="1:48" ht="18">
      <c r="A25" s="594" t="s">
        <v>648</v>
      </c>
      <c r="B25" s="723"/>
      <c r="C25" s="707"/>
      <c r="D25" s="602"/>
      <c r="E25" s="600"/>
      <c r="F25" s="362"/>
      <c r="G25" s="362"/>
      <c r="H25" s="362"/>
      <c r="I25" s="362"/>
      <c r="J25" s="321"/>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row>
    <row r="26" spans="1:48" ht="36">
      <c r="A26" s="705" t="s">
        <v>1050</v>
      </c>
      <c r="B26" s="723" t="s">
        <v>325</v>
      </c>
      <c r="C26" s="344">
        <f>'1. Input - Water Balance'!C14</f>
        <v>0</v>
      </c>
      <c r="D26" s="602">
        <f aca="true" t="shared" si="3" ref="D26:D31">C26</f>
        <v>0</v>
      </c>
      <c r="E26" s="599"/>
      <c r="F26" s="361">
        <f>IF(C26&gt;67,1,0)</f>
        <v>0</v>
      </c>
      <c r="G26" s="361"/>
      <c r="H26" s="361"/>
      <c r="I26" s="361"/>
      <c r="J26" s="321"/>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row>
    <row r="27" spans="1:48" ht="36">
      <c r="A27" s="591" t="s">
        <v>780</v>
      </c>
      <c r="B27" s="742" t="s">
        <v>321</v>
      </c>
      <c r="C27" s="378">
        <f>C11*C4/100</f>
        <v>0</v>
      </c>
      <c r="D27" s="602">
        <f t="shared" si="3"/>
        <v>0</v>
      </c>
      <c r="E27" s="600">
        <f>SQRT(E11^2+E4^2+(E11^2)*(E4^2)/4)</f>
        <v>0</v>
      </c>
      <c r="F27" s="361">
        <f>IF(C27&gt;0,1,0)</f>
        <v>0</v>
      </c>
      <c r="G27" s="361"/>
      <c r="H27" s="361"/>
      <c r="I27" s="361"/>
      <c r="J27" s="321"/>
      <c r="K27" s="330">
        <f>K11*$C4/100</f>
        <v>0</v>
      </c>
      <c r="L27" s="330">
        <f aca="true" t="shared" si="4" ref="L27:V27">L11*$C4/100</f>
        <v>0</v>
      </c>
      <c r="M27" s="330">
        <f t="shared" si="4"/>
        <v>0</v>
      </c>
      <c r="N27" s="330">
        <f t="shared" si="4"/>
        <v>0</v>
      </c>
      <c r="O27" s="330">
        <f t="shared" si="4"/>
        <v>0</v>
      </c>
      <c r="P27" s="330">
        <f t="shared" si="4"/>
        <v>0</v>
      </c>
      <c r="Q27" s="330">
        <f t="shared" si="4"/>
        <v>0</v>
      </c>
      <c r="R27" s="330">
        <f t="shared" si="4"/>
        <v>0</v>
      </c>
      <c r="S27" s="330">
        <f t="shared" si="4"/>
        <v>0</v>
      </c>
      <c r="T27" s="330">
        <f t="shared" si="4"/>
        <v>0</v>
      </c>
      <c r="U27" s="330">
        <f t="shared" si="4"/>
        <v>0</v>
      </c>
      <c r="V27" s="330">
        <f t="shared" si="4"/>
        <v>0</v>
      </c>
      <c r="W27" s="323"/>
      <c r="X27" s="330" t="e">
        <f>X11*#REF!/100</f>
        <v>#REF!</v>
      </c>
      <c r="Y27" s="330" t="e">
        <f>Y11*#REF!/100</f>
        <v>#REF!</v>
      </c>
      <c r="Z27" s="330" t="e">
        <f>Z11*#REF!/100</f>
        <v>#REF!</v>
      </c>
      <c r="AA27" s="330" t="e">
        <f>AA11*#REF!/100</f>
        <v>#REF!</v>
      </c>
      <c r="AB27" s="330" t="e">
        <f>AB11*#REF!/100</f>
        <v>#REF!</v>
      </c>
      <c r="AC27" s="330" t="e">
        <f>AC11*#REF!/100</f>
        <v>#REF!</v>
      </c>
      <c r="AD27" s="330" t="e">
        <f>AD11*#REF!/100</f>
        <v>#REF!</v>
      </c>
      <c r="AE27" s="330" t="e">
        <f>AE11*#REF!/100</f>
        <v>#REF!</v>
      </c>
      <c r="AF27" s="330" t="e">
        <f>AF11*#REF!/100</f>
        <v>#REF!</v>
      </c>
      <c r="AG27" s="330" t="e">
        <f>AG11*#REF!/100</f>
        <v>#REF!</v>
      </c>
      <c r="AH27" s="330" t="e">
        <f>AH11*#REF!/100</f>
        <v>#REF!</v>
      </c>
      <c r="AI27" s="330" t="e">
        <f>AI11*#REF!/100</f>
        <v>#REF!</v>
      </c>
      <c r="AJ27" s="323"/>
      <c r="AK27" s="330" t="e">
        <f>AK11*#REF!/100</f>
        <v>#REF!</v>
      </c>
      <c r="AL27" s="330" t="e">
        <f>AL11*#REF!/100</f>
        <v>#REF!</v>
      </c>
      <c r="AM27" s="330" t="e">
        <f>AM11*#REF!/100</f>
        <v>#REF!</v>
      </c>
      <c r="AN27" s="330" t="e">
        <f>AN11*#REF!/100</f>
        <v>#REF!</v>
      </c>
      <c r="AO27" s="330" t="e">
        <f>AO11*#REF!/100</f>
        <v>#REF!</v>
      </c>
      <c r="AP27" s="330" t="e">
        <f>AP11*#REF!/100</f>
        <v>#REF!</v>
      </c>
      <c r="AQ27" s="330" t="e">
        <f>AQ11*#REF!/100</f>
        <v>#REF!</v>
      </c>
      <c r="AR27" s="330" t="e">
        <f>AR11*#REF!/100</f>
        <v>#REF!</v>
      </c>
      <c r="AS27" s="330" t="e">
        <f>AS11*#REF!/100</f>
        <v>#REF!</v>
      </c>
      <c r="AT27" s="330" t="e">
        <f>AT11*#REF!/100</f>
        <v>#REF!</v>
      </c>
      <c r="AU27" s="330" t="e">
        <f>AU11*#REF!/100</f>
        <v>#REF!</v>
      </c>
      <c r="AV27" s="330" t="e">
        <f>AV11*#REF!/100</f>
        <v>#REF!</v>
      </c>
    </row>
    <row r="28" spans="1:48" ht="54.75" customHeight="1">
      <c r="A28" s="593" t="s">
        <v>781</v>
      </c>
      <c r="B28" s="742" t="s">
        <v>321</v>
      </c>
      <c r="C28" s="378">
        <f>C19+('1. Input - Water Balance'!O83)+(('1. Input - Water Balance'!O84)*C26/100)+('1. Input - Water Balance'!O138)*C4/100+C26/100*'1. Input - Water Balance'!O136</f>
        <v>0</v>
      </c>
      <c r="D28" s="602">
        <f t="shared" si="3"/>
        <v>0</v>
      </c>
      <c r="E28" s="600" t="e">
        <f>SQRT(E23^2+E26^2+(E23^2)*(E26^2)/4)</f>
        <v>#DIV/0!</v>
      </c>
      <c r="F28" s="361">
        <f>IF(C28&gt;0,1,0)</f>
        <v>0</v>
      </c>
      <c r="G28" s="361"/>
      <c r="H28" s="361"/>
      <c r="I28" s="361"/>
      <c r="J28" s="321"/>
      <c r="K28" s="329">
        <f>$C26/100*(K18+K19+K23)</f>
        <v>0</v>
      </c>
      <c r="L28" s="329">
        <f aca="true" t="shared" si="5" ref="L28:V28">$C26/100*(L18+L19+L23)</f>
        <v>0</v>
      </c>
      <c r="M28" s="329">
        <f t="shared" si="5"/>
        <v>0</v>
      </c>
      <c r="N28" s="329">
        <f t="shared" si="5"/>
        <v>0</v>
      </c>
      <c r="O28" s="329">
        <f t="shared" si="5"/>
        <v>0</v>
      </c>
      <c r="P28" s="329">
        <f t="shared" si="5"/>
        <v>0</v>
      </c>
      <c r="Q28" s="329">
        <f t="shared" si="5"/>
        <v>0</v>
      </c>
      <c r="R28" s="329">
        <f t="shared" si="5"/>
        <v>0</v>
      </c>
      <c r="S28" s="329">
        <f t="shared" si="5"/>
        <v>0</v>
      </c>
      <c r="T28" s="329">
        <f t="shared" si="5"/>
        <v>0</v>
      </c>
      <c r="U28" s="329">
        <f t="shared" si="5"/>
        <v>0</v>
      </c>
      <c r="V28" s="329">
        <f t="shared" si="5"/>
        <v>0</v>
      </c>
      <c r="W28" s="323"/>
      <c r="X28" s="329" t="e">
        <f>#REF!/100*(X18+X19+X23)</f>
        <v>#REF!</v>
      </c>
      <c r="Y28" s="329" t="e">
        <f>#REF!/100*(Y18+Y19+Y23)</f>
        <v>#REF!</v>
      </c>
      <c r="Z28" s="329" t="e">
        <f>#REF!/100*(Z18+Z19+Z23)</f>
        <v>#REF!</v>
      </c>
      <c r="AA28" s="329" t="e">
        <f>#REF!/100*(AA18+AA19+AA23)</f>
        <v>#REF!</v>
      </c>
      <c r="AB28" s="329" t="e">
        <f>#REF!/100*(AB18+AB19+AB23)</f>
        <v>#REF!</v>
      </c>
      <c r="AC28" s="329" t="e">
        <f>#REF!/100*(AC18+AC19+AC23)</f>
        <v>#REF!</v>
      </c>
      <c r="AD28" s="329" t="e">
        <f>#REF!/100*(AD18+AD19+AD23)</f>
        <v>#REF!</v>
      </c>
      <c r="AE28" s="329" t="e">
        <f>#REF!/100*(AE18+AE19+AE23)</f>
        <v>#REF!</v>
      </c>
      <c r="AF28" s="329" t="e">
        <f>#REF!/100*(AF18+AF19+AF23)</f>
        <v>#REF!</v>
      </c>
      <c r="AG28" s="329" t="e">
        <f>#REF!/100*(AG18+AG19+AG23)</f>
        <v>#REF!</v>
      </c>
      <c r="AH28" s="329" t="e">
        <f>#REF!/100*(AH18+AH19+AH23)</f>
        <v>#REF!</v>
      </c>
      <c r="AI28" s="329" t="e">
        <f>#REF!/100*(AI18+AI19+AI23)</f>
        <v>#REF!</v>
      </c>
      <c r="AJ28" s="323"/>
      <c r="AK28" s="330" t="e">
        <f>#REF!/100*(AK18+AK19+AK23)</f>
        <v>#REF!</v>
      </c>
      <c r="AL28" s="329" t="e">
        <f>#REF!/100*(AL18+AL19+AL23)</f>
        <v>#REF!</v>
      </c>
      <c r="AM28" s="329" t="e">
        <f>#REF!/100*(AM18+AM19+AM23)</f>
        <v>#REF!</v>
      </c>
      <c r="AN28" s="329" t="e">
        <f>#REF!/100*(AN18+AN19+AN23)</f>
        <v>#REF!</v>
      </c>
      <c r="AO28" s="329" t="e">
        <f>#REF!/100*(AO18+AO19+AO23)</f>
        <v>#REF!</v>
      </c>
      <c r="AP28" s="329" t="e">
        <f>#REF!/100*(AP18+AP19+AP23)</f>
        <v>#REF!</v>
      </c>
      <c r="AQ28" s="329" t="e">
        <f>#REF!/100*(AQ18+AQ19+AQ23)</f>
        <v>#REF!</v>
      </c>
      <c r="AR28" s="329" t="e">
        <f>#REF!/100*(AR18+AR19+AR23)</f>
        <v>#REF!</v>
      </c>
      <c r="AS28" s="329" t="e">
        <f>#REF!/100*(AS18+AS19+AS23)</f>
        <v>#REF!</v>
      </c>
      <c r="AT28" s="329" t="e">
        <f>#REF!/100*(AT18+AT19+AT23)</f>
        <v>#REF!</v>
      </c>
      <c r="AU28" s="329" t="e">
        <f>#REF!/100*(AU18+AU19+AU23)</f>
        <v>#REF!</v>
      </c>
      <c r="AV28" s="329" t="e">
        <f>#REF!/100*(AV18+AV19+AV23)</f>
        <v>#REF!</v>
      </c>
    </row>
    <row r="29" spans="1:48" ht="54">
      <c r="A29" s="591" t="s">
        <v>779</v>
      </c>
      <c r="B29" s="441" t="s">
        <v>321</v>
      </c>
      <c r="C29" s="378">
        <f>C27+C28</f>
        <v>0</v>
      </c>
      <c r="D29" s="602">
        <f t="shared" si="3"/>
        <v>0</v>
      </c>
      <c r="E29" s="600" t="e">
        <f>(SQRT(D27^2*E27^2+D28^2*E28^2))/(D27+D28)</f>
        <v>#DIV/0!</v>
      </c>
      <c r="F29" s="361">
        <f>IF(C29&gt;0,1,0)</f>
        <v>0</v>
      </c>
      <c r="G29" s="361"/>
      <c r="H29" s="361"/>
      <c r="I29" s="361"/>
      <c r="J29" s="321"/>
      <c r="K29" s="331">
        <f>K27+K28</f>
        <v>0</v>
      </c>
      <c r="L29" s="332">
        <f aca="true" t="shared" si="6" ref="L29:V29">L27+L28</f>
        <v>0</v>
      </c>
      <c r="M29" s="332">
        <f t="shared" si="6"/>
        <v>0</v>
      </c>
      <c r="N29" s="332">
        <f t="shared" si="6"/>
        <v>0</v>
      </c>
      <c r="O29" s="332">
        <f t="shared" si="6"/>
        <v>0</v>
      </c>
      <c r="P29" s="332">
        <f t="shared" si="6"/>
        <v>0</v>
      </c>
      <c r="Q29" s="332">
        <f t="shared" si="6"/>
        <v>0</v>
      </c>
      <c r="R29" s="332">
        <f t="shared" si="6"/>
        <v>0</v>
      </c>
      <c r="S29" s="332">
        <f t="shared" si="6"/>
        <v>0</v>
      </c>
      <c r="T29" s="332">
        <f t="shared" si="6"/>
        <v>0</v>
      </c>
      <c r="U29" s="332">
        <f t="shared" si="6"/>
        <v>0</v>
      </c>
      <c r="V29" s="332">
        <f t="shared" si="6"/>
        <v>0</v>
      </c>
      <c r="W29" s="323"/>
      <c r="X29" s="331" t="e">
        <f>X27+X28</f>
        <v>#REF!</v>
      </c>
      <c r="Y29" s="331" t="e">
        <f aca="true" t="shared" si="7" ref="Y29:AI29">Y27+Y28</f>
        <v>#REF!</v>
      </c>
      <c r="Z29" s="331" t="e">
        <f t="shared" si="7"/>
        <v>#REF!</v>
      </c>
      <c r="AA29" s="331" t="e">
        <f t="shared" si="7"/>
        <v>#REF!</v>
      </c>
      <c r="AB29" s="331" t="e">
        <f t="shared" si="7"/>
        <v>#REF!</v>
      </c>
      <c r="AC29" s="331" t="e">
        <f t="shared" si="7"/>
        <v>#REF!</v>
      </c>
      <c r="AD29" s="331" t="e">
        <f t="shared" si="7"/>
        <v>#REF!</v>
      </c>
      <c r="AE29" s="331" t="e">
        <f t="shared" si="7"/>
        <v>#REF!</v>
      </c>
      <c r="AF29" s="331" t="e">
        <f t="shared" si="7"/>
        <v>#REF!</v>
      </c>
      <c r="AG29" s="331" t="e">
        <f t="shared" si="7"/>
        <v>#REF!</v>
      </c>
      <c r="AH29" s="331" t="e">
        <f t="shared" si="7"/>
        <v>#REF!</v>
      </c>
      <c r="AI29" s="331" t="e">
        <f t="shared" si="7"/>
        <v>#REF!</v>
      </c>
      <c r="AJ29" s="323"/>
      <c r="AK29" s="333" t="e">
        <f>AK27+AK28</f>
        <v>#REF!</v>
      </c>
      <c r="AL29" s="331" t="e">
        <f aca="true" t="shared" si="8" ref="AL29:AV29">AL27+AL28</f>
        <v>#REF!</v>
      </c>
      <c r="AM29" s="331" t="e">
        <f t="shared" si="8"/>
        <v>#REF!</v>
      </c>
      <c r="AN29" s="331" t="e">
        <f t="shared" si="8"/>
        <v>#REF!</v>
      </c>
      <c r="AO29" s="331" t="e">
        <f t="shared" si="8"/>
        <v>#REF!</v>
      </c>
      <c r="AP29" s="331" t="e">
        <f t="shared" si="8"/>
        <v>#REF!</v>
      </c>
      <c r="AQ29" s="331" t="e">
        <f t="shared" si="8"/>
        <v>#REF!</v>
      </c>
      <c r="AR29" s="331" t="e">
        <f t="shared" si="8"/>
        <v>#REF!</v>
      </c>
      <c r="AS29" s="331" t="e">
        <f t="shared" si="8"/>
        <v>#REF!</v>
      </c>
      <c r="AT29" s="331" t="e">
        <f t="shared" si="8"/>
        <v>#REF!</v>
      </c>
      <c r="AU29" s="331" t="e">
        <f t="shared" si="8"/>
        <v>#REF!</v>
      </c>
      <c r="AV29" s="331" t="e">
        <f t="shared" si="8"/>
        <v>#REF!</v>
      </c>
    </row>
    <row r="30" spans="1:48" ht="18">
      <c r="A30" s="718" t="s">
        <v>1289</v>
      </c>
      <c r="B30" s="437" t="s">
        <v>321</v>
      </c>
      <c r="C30" s="378" t="e">
        <f>C24+C16</f>
        <v>#DIV/0!</v>
      </c>
      <c r="D30" s="602" t="e">
        <f>C30</f>
        <v>#DIV/0!</v>
      </c>
      <c r="E30" s="600" t="e">
        <f>SQRT(C24^2*E24^2+C16^2*E16^2)/(C24+C16)</f>
        <v>#DIV/0!</v>
      </c>
      <c r="F30" s="361"/>
      <c r="G30" s="361"/>
      <c r="H30" s="361"/>
      <c r="I30" s="361"/>
      <c r="J30" s="321"/>
      <c r="K30" s="331"/>
      <c r="L30" s="332"/>
      <c r="M30" s="332"/>
      <c r="N30" s="332"/>
      <c r="O30" s="332"/>
      <c r="P30" s="332"/>
      <c r="Q30" s="332"/>
      <c r="R30" s="332"/>
      <c r="S30" s="332"/>
      <c r="T30" s="332"/>
      <c r="U30" s="332"/>
      <c r="V30" s="332"/>
      <c r="W30" s="323"/>
      <c r="X30" s="331"/>
      <c r="Y30" s="331"/>
      <c r="Z30" s="331"/>
      <c r="AA30" s="331"/>
      <c r="AB30" s="331"/>
      <c r="AC30" s="331"/>
      <c r="AD30" s="331"/>
      <c r="AE30" s="331"/>
      <c r="AF30" s="331"/>
      <c r="AG30" s="331"/>
      <c r="AH30" s="331"/>
      <c r="AI30" s="331"/>
      <c r="AJ30" s="323"/>
      <c r="AK30" s="333"/>
      <c r="AL30" s="331"/>
      <c r="AM30" s="331"/>
      <c r="AN30" s="331"/>
      <c r="AO30" s="331"/>
      <c r="AP30" s="331"/>
      <c r="AQ30" s="331"/>
      <c r="AR30" s="331"/>
      <c r="AS30" s="331"/>
      <c r="AT30" s="331"/>
      <c r="AU30" s="331"/>
      <c r="AV30" s="331"/>
    </row>
    <row r="31" spans="1:48" ht="18">
      <c r="A31" s="591" t="s">
        <v>53</v>
      </c>
      <c r="B31" s="437" t="s">
        <v>325</v>
      </c>
      <c r="C31" s="378" t="e">
        <f>(('1. Input - Water Balance'!O84+'1. Input - Water Balance'!O136)*C26+('1. Input - Water Balance'!O138+C11)*C4)/('1. Input - Water Balance'!O138+'1. Input - Water Balance'!O136+C11+'1. Input - Water Balance'!O84)</f>
        <v>#DIV/0!</v>
      </c>
      <c r="D31" s="602" t="e">
        <f t="shared" si="3"/>
        <v>#DIV/0!</v>
      </c>
      <c r="E31" s="600" t="e">
        <f>SQRT(E30^2+E29^2+(E29^2*E30^2)/4)</f>
        <v>#DIV/0!</v>
      </c>
      <c r="F31" s="361"/>
      <c r="G31" s="361"/>
      <c r="H31" s="361"/>
      <c r="I31" s="361"/>
      <c r="J31" s="321"/>
      <c r="K31" s="331"/>
      <c r="L31" s="332"/>
      <c r="M31" s="332"/>
      <c r="N31" s="332"/>
      <c r="O31" s="332"/>
      <c r="P31" s="332"/>
      <c r="Q31" s="332"/>
      <c r="R31" s="332"/>
      <c r="S31" s="332"/>
      <c r="T31" s="332"/>
      <c r="U31" s="332"/>
      <c r="V31" s="332"/>
      <c r="W31" s="323"/>
      <c r="X31" s="331"/>
      <c r="Y31" s="331"/>
      <c r="Z31" s="331"/>
      <c r="AA31" s="331"/>
      <c r="AB31" s="331"/>
      <c r="AC31" s="331"/>
      <c r="AD31" s="331"/>
      <c r="AE31" s="331"/>
      <c r="AF31" s="331"/>
      <c r="AG31" s="331"/>
      <c r="AH31" s="331"/>
      <c r="AI31" s="331"/>
      <c r="AJ31" s="323"/>
      <c r="AK31" s="333"/>
      <c r="AL31" s="331"/>
      <c r="AM31" s="331"/>
      <c r="AN31" s="331"/>
      <c r="AO31" s="331"/>
      <c r="AP31" s="331"/>
      <c r="AQ31" s="331"/>
      <c r="AR31" s="331"/>
      <c r="AS31" s="331"/>
      <c r="AT31" s="331"/>
      <c r="AU31" s="331"/>
      <c r="AV31" s="331"/>
    </row>
    <row r="32" spans="1:48" ht="18">
      <c r="A32" s="594" t="s">
        <v>649</v>
      </c>
      <c r="B32" s="437"/>
      <c r="C32" s="434"/>
      <c r="D32" s="602"/>
      <c r="E32" s="600"/>
      <c r="F32" s="362"/>
      <c r="G32" s="362"/>
      <c r="H32" s="362"/>
      <c r="I32" s="362"/>
      <c r="J32" s="321"/>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row>
    <row r="33" spans="1:48" ht="18">
      <c r="A33" s="591" t="s">
        <v>416</v>
      </c>
      <c r="B33" s="437" t="s">
        <v>321</v>
      </c>
      <c r="C33" s="378">
        <f>SUM(K33:V33)</f>
        <v>0</v>
      </c>
      <c r="D33" s="602">
        <f aca="true" t="shared" si="9" ref="D33:D41">C33</f>
        <v>0</v>
      </c>
      <c r="E33" s="601"/>
      <c r="F33" s="361">
        <f>IF(C33&gt;0,1,0)</f>
        <v>0</v>
      </c>
      <c r="G33" s="361"/>
      <c r="H33" s="361"/>
      <c r="I33" s="361"/>
      <c r="J33" s="321"/>
      <c r="K33" s="334">
        <f>'1. Input - Water Balance'!$R64</f>
        <v>0</v>
      </c>
      <c r="L33" s="334">
        <f>'1. Input - Water Balance'!S64</f>
        <v>0</v>
      </c>
      <c r="M33" s="334">
        <f>'1. Input - Water Balance'!T64</f>
        <v>0</v>
      </c>
      <c r="N33" s="334">
        <f>'1. Input - Water Balance'!U64</f>
        <v>0</v>
      </c>
      <c r="O33" s="334">
        <f>'1. Input - Water Balance'!V64</f>
        <v>0</v>
      </c>
      <c r="P33" s="334">
        <f>'1. Input - Water Balance'!W64</f>
        <v>0</v>
      </c>
      <c r="Q33" s="334">
        <f>'1. Input - Water Balance'!X64</f>
        <v>0</v>
      </c>
      <c r="R33" s="334">
        <f>'1. Input - Water Balance'!Y64</f>
        <v>0</v>
      </c>
      <c r="S33" s="334">
        <f>'1. Input - Water Balance'!Z64</f>
        <v>0</v>
      </c>
      <c r="T33" s="334">
        <f>'1. Input - Water Balance'!AA64</f>
        <v>0</v>
      </c>
      <c r="U33" s="334">
        <f>'1. Input - Water Balance'!AB64</f>
        <v>0</v>
      </c>
      <c r="V33" s="334">
        <f>'1. Input - Water Balance'!AC64</f>
        <v>0</v>
      </c>
      <c r="W33" s="323"/>
      <c r="X33" s="334" t="e">
        <f>#REF!</f>
        <v>#REF!</v>
      </c>
      <c r="Y33" s="334" t="e">
        <f>#REF!</f>
        <v>#REF!</v>
      </c>
      <c r="Z33" s="334" t="e">
        <f>#REF!</f>
        <v>#REF!</v>
      </c>
      <c r="AA33" s="334" t="e">
        <f>#REF!</f>
        <v>#REF!</v>
      </c>
      <c r="AB33" s="334" t="e">
        <f>#REF!</f>
        <v>#REF!</v>
      </c>
      <c r="AC33" s="334" t="e">
        <f>#REF!</f>
        <v>#REF!</v>
      </c>
      <c r="AD33" s="334" t="e">
        <f>#REF!</f>
        <v>#REF!</v>
      </c>
      <c r="AE33" s="334" t="e">
        <f>#REF!</f>
        <v>#REF!</v>
      </c>
      <c r="AF33" s="334" t="e">
        <f>#REF!</f>
        <v>#REF!</v>
      </c>
      <c r="AG33" s="334" t="e">
        <f>#REF!</f>
        <v>#REF!</v>
      </c>
      <c r="AH33" s="334" t="e">
        <f>#REF!</f>
        <v>#REF!</v>
      </c>
      <c r="AI33" s="334" t="e">
        <f>#REF!</f>
        <v>#REF!</v>
      </c>
      <c r="AJ33" s="323"/>
      <c r="AK33" s="334" t="e">
        <f>#REF!</f>
        <v>#REF!</v>
      </c>
      <c r="AL33" s="334" t="e">
        <f>#REF!</f>
        <v>#REF!</v>
      </c>
      <c r="AM33" s="334" t="e">
        <f>#REF!</f>
        <v>#REF!</v>
      </c>
      <c r="AN33" s="334" t="e">
        <f>#REF!</f>
        <v>#REF!</v>
      </c>
      <c r="AO33" s="334" t="e">
        <f>#REF!</f>
        <v>#REF!</v>
      </c>
      <c r="AP33" s="334" t="e">
        <f>#REF!</f>
        <v>#REF!</v>
      </c>
      <c r="AQ33" s="334" t="e">
        <f>#REF!</f>
        <v>#REF!</v>
      </c>
      <c r="AR33" s="334" t="e">
        <f>#REF!</f>
        <v>#REF!</v>
      </c>
      <c r="AS33" s="334" t="e">
        <f>#REF!</f>
        <v>#REF!</v>
      </c>
      <c r="AT33" s="334" t="e">
        <f>#REF!</f>
        <v>#REF!</v>
      </c>
      <c r="AU33" s="334" t="e">
        <f>#REF!</f>
        <v>#REF!</v>
      </c>
      <c r="AV33" s="334" t="e">
        <f>#REF!</f>
        <v>#REF!</v>
      </c>
    </row>
    <row r="34" spans="1:48" ht="36">
      <c r="A34" s="591" t="s">
        <v>650</v>
      </c>
      <c r="B34" s="437" t="s">
        <v>321</v>
      </c>
      <c r="C34" s="378">
        <f>SUM(K34:V34)</f>
        <v>0</v>
      </c>
      <c r="D34" s="602">
        <f t="shared" si="9"/>
        <v>0</v>
      </c>
      <c r="E34" s="600" t="e">
        <f>(SQRT(D13^2*E13^2+D33^2*E33^2))/(D13+D33)</f>
        <v>#DIV/0!</v>
      </c>
      <c r="F34" s="361">
        <f>IF(C34&gt;0,1,0)</f>
        <v>0</v>
      </c>
      <c r="G34" s="361"/>
      <c r="H34" s="361"/>
      <c r="I34" s="361"/>
      <c r="J34" s="321"/>
      <c r="K34" s="327">
        <f>'1. Input - Water Balance'!$R66</f>
        <v>0</v>
      </c>
      <c r="L34" s="327">
        <f>'1. Input - Water Balance'!S66</f>
        <v>0</v>
      </c>
      <c r="M34" s="327">
        <f>'1. Input - Water Balance'!T66</f>
        <v>0</v>
      </c>
      <c r="N34" s="327">
        <f>'1. Input - Water Balance'!U66</f>
        <v>0</v>
      </c>
      <c r="O34" s="327">
        <f>'1. Input - Water Balance'!V66</f>
        <v>0</v>
      </c>
      <c r="P34" s="327">
        <f>'1. Input - Water Balance'!W66</f>
        <v>0</v>
      </c>
      <c r="Q34" s="327">
        <f>'1. Input - Water Balance'!X66</f>
        <v>0</v>
      </c>
      <c r="R34" s="327">
        <f>'1. Input - Water Balance'!Y66</f>
        <v>0</v>
      </c>
      <c r="S34" s="327">
        <f>'1. Input - Water Balance'!Z66</f>
        <v>0</v>
      </c>
      <c r="T34" s="327">
        <f>'1. Input - Water Balance'!AA66</f>
        <v>0</v>
      </c>
      <c r="U34" s="327">
        <f>'1. Input - Water Balance'!AB66</f>
        <v>0</v>
      </c>
      <c r="V34" s="327">
        <f>'1. Input - Water Balance'!AC66</f>
        <v>0</v>
      </c>
      <c r="W34" s="335"/>
      <c r="X34" s="327" t="e">
        <f>#REF!</f>
        <v>#REF!</v>
      </c>
      <c r="Y34" s="327" t="e">
        <f>#REF!</f>
        <v>#REF!</v>
      </c>
      <c r="Z34" s="327" t="e">
        <f>#REF!</f>
        <v>#REF!</v>
      </c>
      <c r="AA34" s="327" t="e">
        <f>#REF!</f>
        <v>#REF!</v>
      </c>
      <c r="AB34" s="327" t="e">
        <f>#REF!</f>
        <v>#REF!</v>
      </c>
      <c r="AC34" s="327" t="e">
        <f>#REF!</f>
        <v>#REF!</v>
      </c>
      <c r="AD34" s="327" t="e">
        <f>#REF!</f>
        <v>#REF!</v>
      </c>
      <c r="AE34" s="327" t="e">
        <f>#REF!</f>
        <v>#REF!</v>
      </c>
      <c r="AF34" s="327" t="e">
        <f>#REF!</f>
        <v>#REF!</v>
      </c>
      <c r="AG34" s="327" t="e">
        <f>#REF!</f>
        <v>#REF!</v>
      </c>
      <c r="AH34" s="327" t="e">
        <f>#REF!</f>
        <v>#REF!</v>
      </c>
      <c r="AI34" s="327" t="e">
        <f>#REF!</f>
        <v>#REF!</v>
      </c>
      <c r="AJ34" s="335"/>
      <c r="AK34" s="327" t="e">
        <f>#REF!</f>
        <v>#REF!</v>
      </c>
      <c r="AL34" s="327" t="e">
        <f>#REF!</f>
        <v>#REF!</v>
      </c>
      <c r="AM34" s="327" t="e">
        <f>#REF!</f>
        <v>#REF!</v>
      </c>
      <c r="AN34" s="327" t="e">
        <f>#REF!</f>
        <v>#REF!</v>
      </c>
      <c r="AO34" s="327" t="e">
        <f>#REF!</f>
        <v>#REF!</v>
      </c>
      <c r="AP34" s="327" t="e">
        <f>#REF!</f>
        <v>#REF!</v>
      </c>
      <c r="AQ34" s="327" t="e">
        <f>#REF!</f>
        <v>#REF!</v>
      </c>
      <c r="AR34" s="327" t="e">
        <f>#REF!</f>
        <v>#REF!</v>
      </c>
      <c r="AS34" s="327" t="e">
        <f>#REF!</f>
        <v>#REF!</v>
      </c>
      <c r="AT34" s="327" t="e">
        <f>#REF!</f>
        <v>#REF!</v>
      </c>
      <c r="AU34" s="327" t="e">
        <f>#REF!</f>
        <v>#REF!</v>
      </c>
      <c r="AV34" s="327" t="e">
        <f>#REF!</f>
        <v>#REF!</v>
      </c>
    </row>
    <row r="35" spans="1:48" ht="18">
      <c r="A35" s="591" t="s">
        <v>651</v>
      </c>
      <c r="B35" s="437" t="s">
        <v>321</v>
      </c>
      <c r="C35" s="344">
        <f>'1. Input - Water Balance'!$W$166</f>
        <v>0</v>
      </c>
      <c r="D35" s="602">
        <f t="shared" si="9"/>
        <v>0</v>
      </c>
      <c r="E35" s="600" t="e">
        <f>1.3*E34</f>
        <v>#DIV/0!</v>
      </c>
      <c r="F35" s="361">
        <f>IF(C35&gt;0,1,0)</f>
        <v>0</v>
      </c>
      <c r="G35" s="361"/>
      <c r="H35" s="361"/>
      <c r="I35" s="361"/>
      <c r="J35" s="321"/>
      <c r="K35" s="336" t="e">
        <f>K34/$C34*$C35</f>
        <v>#DIV/0!</v>
      </c>
      <c r="L35" s="336" t="e">
        <f aca="true" t="shared" si="10" ref="L35:V35">L34/$C34*$C35</f>
        <v>#DIV/0!</v>
      </c>
      <c r="M35" s="336" t="e">
        <f t="shared" si="10"/>
        <v>#DIV/0!</v>
      </c>
      <c r="N35" s="336" t="e">
        <f t="shared" si="10"/>
        <v>#DIV/0!</v>
      </c>
      <c r="O35" s="336" t="e">
        <f t="shared" si="10"/>
        <v>#DIV/0!</v>
      </c>
      <c r="P35" s="336" t="e">
        <f t="shared" si="10"/>
        <v>#DIV/0!</v>
      </c>
      <c r="Q35" s="336" t="e">
        <f t="shared" si="10"/>
        <v>#DIV/0!</v>
      </c>
      <c r="R35" s="336" t="e">
        <f t="shared" si="10"/>
        <v>#DIV/0!</v>
      </c>
      <c r="S35" s="336" t="e">
        <f t="shared" si="10"/>
        <v>#DIV/0!</v>
      </c>
      <c r="T35" s="336" t="e">
        <f t="shared" si="10"/>
        <v>#DIV/0!</v>
      </c>
      <c r="U35" s="336" t="e">
        <f t="shared" si="10"/>
        <v>#DIV/0!</v>
      </c>
      <c r="V35" s="336" t="e">
        <f t="shared" si="10"/>
        <v>#DIV/0!</v>
      </c>
      <c r="W35" s="335"/>
      <c r="X35" s="336" t="e">
        <f>X34/#REF!*#REF!</f>
        <v>#REF!</v>
      </c>
      <c r="Y35" s="336" t="e">
        <f>Y34/#REF!*#REF!</f>
        <v>#REF!</v>
      </c>
      <c r="Z35" s="336" t="e">
        <f>Z34/#REF!*#REF!</f>
        <v>#REF!</v>
      </c>
      <c r="AA35" s="336" t="e">
        <f>AA34/#REF!*#REF!</f>
        <v>#REF!</v>
      </c>
      <c r="AB35" s="336" t="e">
        <f>AB34/#REF!*#REF!</f>
        <v>#REF!</v>
      </c>
      <c r="AC35" s="336" t="e">
        <f>AC34/#REF!*#REF!</f>
        <v>#REF!</v>
      </c>
      <c r="AD35" s="336" t="e">
        <f>AD34/#REF!*#REF!</f>
        <v>#REF!</v>
      </c>
      <c r="AE35" s="336" t="e">
        <f>AE34/#REF!*#REF!</f>
        <v>#REF!</v>
      </c>
      <c r="AF35" s="336" t="e">
        <f>AF34/#REF!*#REF!</f>
        <v>#REF!</v>
      </c>
      <c r="AG35" s="336" t="e">
        <f>AG34/#REF!*#REF!</f>
        <v>#REF!</v>
      </c>
      <c r="AH35" s="336" t="e">
        <f>AH34/#REF!*#REF!</f>
        <v>#REF!</v>
      </c>
      <c r="AI35" s="336" t="e">
        <f>AI34/#REF!*#REF!</f>
        <v>#REF!</v>
      </c>
      <c r="AJ35" s="335"/>
      <c r="AK35" s="336" t="e">
        <f>AK34/#REF!*#REF!</f>
        <v>#REF!</v>
      </c>
      <c r="AL35" s="336" t="e">
        <f>AL34/#REF!*#REF!</f>
        <v>#REF!</v>
      </c>
      <c r="AM35" s="336" t="e">
        <f>AM34/#REF!*#REF!</f>
        <v>#REF!</v>
      </c>
      <c r="AN35" s="336" t="e">
        <f>AN34/#REF!*#REF!</f>
        <v>#REF!</v>
      </c>
      <c r="AO35" s="336" t="e">
        <f>AO34/#REF!*#REF!</f>
        <v>#REF!</v>
      </c>
      <c r="AP35" s="336" t="e">
        <f>AP34/#REF!*#REF!</f>
        <v>#REF!</v>
      </c>
      <c r="AQ35" s="336" t="e">
        <f>AQ34/#REF!*#REF!</f>
        <v>#REF!</v>
      </c>
      <c r="AR35" s="336" t="e">
        <f>AR34/#REF!*#REF!</f>
        <v>#REF!</v>
      </c>
      <c r="AS35" s="336" t="e">
        <f>AS34/#REF!*#REF!</f>
        <v>#REF!</v>
      </c>
      <c r="AT35" s="336" t="e">
        <f>AT34/#REF!*#REF!</f>
        <v>#REF!</v>
      </c>
      <c r="AU35" s="336" t="e">
        <f>AU34/#REF!*#REF!</f>
        <v>#REF!</v>
      </c>
      <c r="AV35" s="336" t="e">
        <f>AV34/#REF!*#REF!</f>
        <v>#REF!</v>
      </c>
    </row>
    <row r="36" spans="1:48" ht="18">
      <c r="A36" s="591" t="s">
        <v>652</v>
      </c>
      <c r="B36" s="437" t="s">
        <v>321</v>
      </c>
      <c r="C36" s="378">
        <f>SUM(K36:V36)</f>
        <v>0</v>
      </c>
      <c r="D36" s="602">
        <f t="shared" si="9"/>
        <v>0</v>
      </c>
      <c r="E36" s="599"/>
      <c r="F36" s="361">
        <f>IF(C36&gt;0,1,0)</f>
        <v>0</v>
      </c>
      <c r="G36" s="361"/>
      <c r="H36" s="361"/>
      <c r="I36" s="361"/>
      <c r="J36" s="321"/>
      <c r="K36" s="337">
        <f>'1. Input - Water Balance'!Q246</f>
        <v>0</v>
      </c>
      <c r="L36" s="337">
        <f>'1. Input - Water Balance'!R246</f>
        <v>0</v>
      </c>
      <c r="M36" s="337">
        <f>'1. Input - Water Balance'!S246</f>
        <v>0</v>
      </c>
      <c r="N36" s="337">
        <f>'1. Input - Water Balance'!T246</f>
        <v>0</v>
      </c>
      <c r="O36" s="337">
        <f>'1. Input - Water Balance'!U246</f>
        <v>0</v>
      </c>
      <c r="P36" s="337">
        <f>'1. Input - Water Balance'!V246</f>
        <v>0</v>
      </c>
      <c r="Q36" s="337">
        <f>'1. Input - Water Balance'!W246</f>
        <v>0</v>
      </c>
      <c r="R36" s="337">
        <f>'1. Input - Water Balance'!X246</f>
        <v>0</v>
      </c>
      <c r="S36" s="337">
        <f>'1. Input - Water Balance'!Y246</f>
        <v>0</v>
      </c>
      <c r="T36" s="337">
        <f>'1. Input - Water Balance'!Z246</f>
        <v>0</v>
      </c>
      <c r="U36" s="337">
        <f>'1. Input - Water Balance'!AA246</f>
        <v>0</v>
      </c>
      <c r="V36" s="337">
        <f>'1. Input - Water Balance'!AB246</f>
        <v>0</v>
      </c>
      <c r="W36" s="335"/>
      <c r="X36" s="337" t="e">
        <f>#REF!</f>
        <v>#REF!</v>
      </c>
      <c r="Y36" s="337" t="e">
        <f>#REF!</f>
        <v>#REF!</v>
      </c>
      <c r="Z36" s="337" t="e">
        <f>#REF!</f>
        <v>#REF!</v>
      </c>
      <c r="AA36" s="337" t="e">
        <f>#REF!</f>
        <v>#REF!</v>
      </c>
      <c r="AB36" s="337" t="e">
        <f>#REF!</f>
        <v>#REF!</v>
      </c>
      <c r="AC36" s="337" t="e">
        <f>#REF!</f>
        <v>#REF!</v>
      </c>
      <c r="AD36" s="337" t="e">
        <f>#REF!</f>
        <v>#REF!</v>
      </c>
      <c r="AE36" s="337" t="e">
        <f>#REF!</f>
        <v>#REF!</v>
      </c>
      <c r="AF36" s="337" t="e">
        <f>#REF!</f>
        <v>#REF!</v>
      </c>
      <c r="AG36" s="337" t="e">
        <f>#REF!</f>
        <v>#REF!</v>
      </c>
      <c r="AH36" s="337" t="e">
        <f>#REF!</f>
        <v>#REF!</v>
      </c>
      <c r="AI36" s="337" t="e">
        <f>#REF!</f>
        <v>#REF!</v>
      </c>
      <c r="AJ36" s="335"/>
      <c r="AK36" s="337" t="e">
        <f>#REF!</f>
        <v>#REF!</v>
      </c>
      <c r="AL36" s="337" t="e">
        <f>#REF!</f>
        <v>#REF!</v>
      </c>
      <c r="AM36" s="337" t="e">
        <f>#REF!</f>
        <v>#REF!</v>
      </c>
      <c r="AN36" s="337" t="e">
        <f>#REF!</f>
        <v>#REF!</v>
      </c>
      <c r="AO36" s="337" t="e">
        <f>#REF!</f>
        <v>#REF!</v>
      </c>
      <c r="AP36" s="337" t="e">
        <f>#REF!</f>
        <v>#REF!</v>
      </c>
      <c r="AQ36" s="337" t="e">
        <f>#REF!</f>
        <v>#REF!</v>
      </c>
      <c r="AR36" s="337" t="e">
        <f>#REF!</f>
        <v>#REF!</v>
      </c>
      <c r="AS36" s="337" t="e">
        <f>#REF!</f>
        <v>#REF!</v>
      </c>
      <c r="AT36" s="337" t="e">
        <f>#REF!</f>
        <v>#REF!</v>
      </c>
      <c r="AU36" s="337" t="e">
        <f>#REF!</f>
        <v>#REF!</v>
      </c>
      <c r="AV36" s="337" t="e">
        <f>#REF!</f>
        <v>#REF!</v>
      </c>
    </row>
    <row r="37" spans="1:48" ht="36">
      <c r="A37" s="591" t="s">
        <v>653</v>
      </c>
      <c r="B37" s="437" t="s">
        <v>321</v>
      </c>
      <c r="C37" s="378">
        <f>SUM(C34:C36)</f>
        <v>0</v>
      </c>
      <c r="D37" s="602">
        <f t="shared" si="9"/>
        <v>0</v>
      </c>
      <c r="E37" s="600" t="e">
        <f>(SQRT(D34^2*E34^2+D35^2*E23^2+D36^2*E36^2))/(D34+D35+D36)</f>
        <v>#DIV/0!</v>
      </c>
      <c r="F37" s="361">
        <f>IF(C37&gt;0,1,0)</f>
        <v>0</v>
      </c>
      <c r="G37" s="361"/>
      <c r="H37" s="361"/>
      <c r="I37" s="361"/>
      <c r="J37" s="321"/>
      <c r="K37" s="336" t="e">
        <f>K34+K36+K35</f>
        <v>#DIV/0!</v>
      </c>
      <c r="L37" s="336" t="e">
        <f aca="true" t="shared" si="11" ref="L37:V37">L34+L36+L35</f>
        <v>#DIV/0!</v>
      </c>
      <c r="M37" s="336" t="e">
        <f t="shared" si="11"/>
        <v>#DIV/0!</v>
      </c>
      <c r="N37" s="336" t="e">
        <f t="shared" si="11"/>
        <v>#DIV/0!</v>
      </c>
      <c r="O37" s="336" t="e">
        <f t="shared" si="11"/>
        <v>#DIV/0!</v>
      </c>
      <c r="P37" s="336" t="e">
        <f t="shared" si="11"/>
        <v>#DIV/0!</v>
      </c>
      <c r="Q37" s="336" t="e">
        <f t="shared" si="11"/>
        <v>#DIV/0!</v>
      </c>
      <c r="R37" s="336" t="e">
        <f t="shared" si="11"/>
        <v>#DIV/0!</v>
      </c>
      <c r="S37" s="336" t="e">
        <f t="shared" si="11"/>
        <v>#DIV/0!</v>
      </c>
      <c r="T37" s="336" t="e">
        <f t="shared" si="11"/>
        <v>#DIV/0!</v>
      </c>
      <c r="U37" s="336" t="e">
        <f t="shared" si="11"/>
        <v>#DIV/0!</v>
      </c>
      <c r="V37" s="336" t="e">
        <f t="shared" si="11"/>
        <v>#DIV/0!</v>
      </c>
      <c r="W37" s="335"/>
      <c r="X37" s="336" t="e">
        <f>X34+X36+X35</f>
        <v>#REF!</v>
      </c>
      <c r="Y37" s="336" t="e">
        <f aca="true" t="shared" si="12" ref="Y37:AI37">Y34+Y36+Y35</f>
        <v>#REF!</v>
      </c>
      <c r="Z37" s="336" t="e">
        <f t="shared" si="12"/>
        <v>#REF!</v>
      </c>
      <c r="AA37" s="336" t="e">
        <f t="shared" si="12"/>
        <v>#REF!</v>
      </c>
      <c r="AB37" s="336" t="e">
        <f t="shared" si="12"/>
        <v>#REF!</v>
      </c>
      <c r="AC37" s="336" t="e">
        <f t="shared" si="12"/>
        <v>#REF!</v>
      </c>
      <c r="AD37" s="336" t="e">
        <f t="shared" si="12"/>
        <v>#REF!</v>
      </c>
      <c r="AE37" s="336" t="e">
        <f t="shared" si="12"/>
        <v>#REF!</v>
      </c>
      <c r="AF37" s="336" t="e">
        <f t="shared" si="12"/>
        <v>#REF!</v>
      </c>
      <c r="AG37" s="336" t="e">
        <f t="shared" si="12"/>
        <v>#REF!</v>
      </c>
      <c r="AH37" s="336" t="e">
        <f t="shared" si="12"/>
        <v>#REF!</v>
      </c>
      <c r="AI37" s="336" t="e">
        <f t="shared" si="12"/>
        <v>#REF!</v>
      </c>
      <c r="AJ37" s="335"/>
      <c r="AK37" s="336" t="e">
        <f>AK34+AK36+AK35</f>
        <v>#REF!</v>
      </c>
      <c r="AL37" s="336" t="e">
        <f aca="true" t="shared" si="13" ref="AL37:AV37">AL34+AL36+AL35</f>
        <v>#REF!</v>
      </c>
      <c r="AM37" s="336" t="e">
        <f t="shared" si="13"/>
        <v>#REF!</v>
      </c>
      <c r="AN37" s="336" t="e">
        <f t="shared" si="13"/>
        <v>#REF!</v>
      </c>
      <c r="AO37" s="336" t="e">
        <f t="shared" si="13"/>
        <v>#REF!</v>
      </c>
      <c r="AP37" s="336" t="e">
        <f t="shared" si="13"/>
        <v>#REF!</v>
      </c>
      <c r="AQ37" s="336" t="e">
        <f t="shared" si="13"/>
        <v>#REF!</v>
      </c>
      <c r="AR37" s="336" t="e">
        <f t="shared" si="13"/>
        <v>#REF!</v>
      </c>
      <c r="AS37" s="336" t="e">
        <f t="shared" si="13"/>
        <v>#REF!</v>
      </c>
      <c r="AT37" s="336" t="e">
        <f t="shared" si="13"/>
        <v>#REF!</v>
      </c>
      <c r="AU37" s="336" t="e">
        <f t="shared" si="13"/>
        <v>#REF!</v>
      </c>
      <c r="AV37" s="336" t="e">
        <f t="shared" si="13"/>
        <v>#REF!</v>
      </c>
    </row>
    <row r="38" spans="1:48" ht="18">
      <c r="A38" s="594" t="s">
        <v>654</v>
      </c>
      <c r="B38" s="441"/>
      <c r="C38" s="434"/>
      <c r="D38" s="602"/>
      <c r="E38" s="600"/>
      <c r="F38" s="362"/>
      <c r="G38" s="362"/>
      <c r="H38" s="362"/>
      <c r="I38" s="362"/>
      <c r="J38" s="321"/>
      <c r="K38" s="325"/>
      <c r="L38" s="325"/>
      <c r="M38" s="325"/>
      <c r="N38" s="325"/>
      <c r="O38" s="325"/>
      <c r="P38" s="325"/>
      <c r="Q38" s="325"/>
      <c r="R38" s="325"/>
      <c r="S38" s="325"/>
      <c r="T38" s="325"/>
      <c r="U38" s="325"/>
      <c r="V38" s="325"/>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row>
    <row r="39" spans="1:48" ht="18">
      <c r="A39" s="595" t="s">
        <v>935</v>
      </c>
      <c r="B39" s="441" t="s">
        <v>655</v>
      </c>
      <c r="C39" s="341">
        <f>'1. Input - Water Balance'!$C$19</f>
        <v>0</v>
      </c>
      <c r="D39" s="602">
        <f t="shared" si="9"/>
        <v>0</v>
      </c>
      <c r="E39" s="599"/>
      <c r="F39" s="361">
        <f>IF(C39&gt;0,1,0)</f>
        <v>0</v>
      </c>
      <c r="G39" s="361"/>
      <c r="H39" s="361"/>
      <c r="I39" s="361"/>
      <c r="J39" s="321"/>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row>
    <row r="40" spans="1:48" ht="36">
      <c r="A40" s="591" t="s">
        <v>656</v>
      </c>
      <c r="B40" s="441" t="s">
        <v>655</v>
      </c>
      <c r="C40" s="342">
        <f>'1. Input - Water Balance'!$C$20</f>
        <v>0</v>
      </c>
      <c r="D40" s="602">
        <f t="shared" si="9"/>
        <v>0</v>
      </c>
      <c r="E40" s="599"/>
      <c r="F40" s="361">
        <f>IF(C40&gt;0,1,0)</f>
        <v>0</v>
      </c>
      <c r="G40" s="361"/>
      <c r="H40" s="361"/>
      <c r="I40" s="361"/>
      <c r="J40" s="321"/>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row>
    <row r="41" spans="1:48" ht="36">
      <c r="A41" s="591" t="s">
        <v>657</v>
      </c>
      <c r="B41" s="441" t="s">
        <v>655</v>
      </c>
      <c r="C41" s="381" t="e">
        <f>0.386*MAX(K37:V37)</f>
        <v>#DIV/0!</v>
      </c>
      <c r="D41" s="602" t="e">
        <f t="shared" si="9"/>
        <v>#DIV/0!</v>
      </c>
      <c r="E41" s="600" t="e">
        <f>E37*1.2</f>
        <v>#DIV/0!</v>
      </c>
      <c r="F41" s="361" t="e">
        <f>IF(C41&gt;0,1,0)</f>
        <v>#DIV/0!</v>
      </c>
      <c r="G41" s="361"/>
      <c r="H41" s="361"/>
      <c r="I41" s="361"/>
      <c r="J41" s="321"/>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row>
    <row r="42" spans="1:48" ht="41.25" customHeight="1">
      <c r="A42" s="591" t="s">
        <v>658</v>
      </c>
      <c r="B42" s="441" t="s">
        <v>655</v>
      </c>
      <c r="C42" s="381" t="e">
        <f>C41/(C47/100)/(C4/100)</f>
        <v>#DIV/0!</v>
      </c>
      <c r="D42" s="602" t="e">
        <f>C42</f>
        <v>#DIV/0!</v>
      </c>
      <c r="E42" s="600" t="e">
        <f>E46</f>
        <v>#DIV/0!</v>
      </c>
      <c r="F42" s="361" t="e">
        <f>IF(C42&gt;0,1,0)</f>
        <v>#DIV/0!</v>
      </c>
      <c r="G42" s="361"/>
      <c r="H42" s="361"/>
      <c r="I42" s="361"/>
      <c r="J42" s="321"/>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row>
    <row r="43" spans="1:48" ht="46.5">
      <c r="A43" s="596" t="s">
        <v>659</v>
      </c>
      <c r="B43" s="441"/>
      <c r="C43" s="434"/>
      <c r="D43" s="602"/>
      <c r="E43" s="600"/>
      <c r="F43" s="362"/>
      <c r="G43" s="362"/>
      <c r="H43" s="362"/>
      <c r="I43" s="362"/>
      <c r="J43" s="321"/>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row>
    <row r="44" spans="1:48" ht="18">
      <c r="A44" s="591" t="s">
        <v>660</v>
      </c>
      <c r="B44" s="437" t="s">
        <v>661</v>
      </c>
      <c r="C44" s="379" t="e">
        <f>C40/C7*1000</f>
        <v>#DIV/0!</v>
      </c>
      <c r="D44" s="713" t="e">
        <f aca="true" t="shared" si="14" ref="D44:D49">C44</f>
        <v>#DIV/0!</v>
      </c>
      <c r="E44" s="600">
        <f>SQRT(E40^2+E7^2+(E40^2)*(E7^2)/4)</f>
        <v>0</v>
      </c>
      <c r="F44" s="361" t="e">
        <f aca="true" t="shared" si="15" ref="F44:F49">IF(C44&gt;0,1,0)</f>
        <v>#DIV/0!</v>
      </c>
      <c r="G44" s="361"/>
      <c r="H44" s="361"/>
      <c r="I44" s="361"/>
      <c r="J44" s="321"/>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row>
    <row r="45" spans="1:48" ht="54">
      <c r="A45" s="594" t="s">
        <v>921</v>
      </c>
      <c r="B45" s="437" t="s">
        <v>646</v>
      </c>
      <c r="C45" s="379" t="e">
        <f>C15/(C37)</f>
        <v>#DIV/0!</v>
      </c>
      <c r="D45" s="713" t="e">
        <f t="shared" si="14"/>
        <v>#DIV/0!</v>
      </c>
      <c r="E45" s="600" t="e">
        <f>SQRT(E37^2+E15^2+(E37^2)*(E15^2)/4)</f>
        <v>#DIV/0!</v>
      </c>
      <c r="F45" s="361" t="e">
        <f t="shared" si="15"/>
        <v>#DIV/0!</v>
      </c>
      <c r="G45" s="361"/>
      <c r="H45" s="361"/>
      <c r="I45" s="361"/>
      <c r="J45" s="321"/>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row>
    <row r="46" spans="1:48" ht="54">
      <c r="A46" s="591" t="s">
        <v>923</v>
      </c>
      <c r="B46" s="436" t="s">
        <v>325</v>
      </c>
      <c r="C46" s="382" t="e">
        <f>100*C37/(C14+C11)</f>
        <v>#DIV/0!</v>
      </c>
      <c r="D46" s="602" t="e">
        <f t="shared" si="14"/>
        <v>#DIV/0!</v>
      </c>
      <c r="E46" s="600" t="e">
        <f>SQRT(E37^2+(SQRT(D14^2*E14^2+D11^2*E11^2)/(D11+D14))^2+(E37^2*(SQRT(D14^2*E14^2+D11^2*E11^2)/(D11+D14))^2)/4)</f>
        <v>#DIV/0!</v>
      </c>
      <c r="F46" s="361" t="e">
        <f t="shared" si="15"/>
        <v>#DIV/0!</v>
      </c>
      <c r="G46" s="361"/>
      <c r="H46" s="361"/>
      <c r="I46" s="361"/>
      <c r="J46" s="338"/>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row>
    <row r="47" spans="1:48" ht="61.5" customHeight="1">
      <c r="A47" s="592" t="s">
        <v>79</v>
      </c>
      <c r="B47" s="436" t="s">
        <v>325</v>
      </c>
      <c r="C47" s="382" t="e">
        <f>C37*100/C29</f>
        <v>#DIV/0!</v>
      </c>
      <c r="D47" s="602" t="e">
        <f t="shared" si="14"/>
        <v>#DIV/0!</v>
      </c>
      <c r="E47" s="600" t="e">
        <f>SQRT(E37^2+E29^2+(E37^2)*(E29^2)/4)</f>
        <v>#DIV/0!</v>
      </c>
      <c r="F47" s="361" t="e">
        <f t="shared" si="15"/>
        <v>#DIV/0!</v>
      </c>
      <c r="G47" s="361"/>
      <c r="H47" s="361"/>
      <c r="I47" s="361"/>
      <c r="J47" s="338"/>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row>
    <row r="48" spans="1:48" ht="45.75" customHeight="1">
      <c r="A48" s="594" t="s">
        <v>922</v>
      </c>
      <c r="B48" s="437" t="s">
        <v>646</v>
      </c>
      <c r="C48" s="379" t="e">
        <f>C41/C39</f>
        <v>#DIV/0!</v>
      </c>
      <c r="D48" s="713" t="e">
        <f t="shared" si="14"/>
        <v>#DIV/0!</v>
      </c>
      <c r="E48" s="600" t="e">
        <f>SQRT(E41^2+E39^2+(E41^2)*(E39^2)/4)</f>
        <v>#DIV/0!</v>
      </c>
      <c r="F48" s="361" t="e">
        <f t="shared" si="15"/>
        <v>#DIV/0!</v>
      </c>
      <c r="G48" s="361"/>
      <c r="H48" s="361"/>
      <c r="I48" s="361"/>
      <c r="J48" s="321"/>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row>
    <row r="49" spans="1:48" ht="44.25" customHeight="1">
      <c r="A49" s="594" t="s">
        <v>924</v>
      </c>
      <c r="B49" s="437" t="s">
        <v>646</v>
      </c>
      <c r="C49" s="379" t="e">
        <f>C41/C40</f>
        <v>#DIV/0!</v>
      </c>
      <c r="D49" s="713" t="e">
        <f t="shared" si="14"/>
        <v>#DIV/0!</v>
      </c>
      <c r="E49" s="600" t="e">
        <f>SQRT(E41^2+E40^2+(E41^2)*(E40^2)/4)</f>
        <v>#DIV/0!</v>
      </c>
      <c r="F49" s="361" t="e">
        <f t="shared" si="15"/>
        <v>#DIV/0!</v>
      </c>
      <c r="G49" s="361"/>
      <c r="H49" s="361"/>
      <c r="I49" s="361"/>
      <c r="J49" s="321"/>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row>
    <row r="50" spans="1:48" ht="26.25" customHeight="1">
      <c r="A50" s="595" t="s">
        <v>930</v>
      </c>
      <c r="B50" s="442" t="s">
        <v>662</v>
      </c>
      <c r="C50" s="433" t="s">
        <v>731</v>
      </c>
      <c r="D50" s="602"/>
      <c r="E50" s="600"/>
      <c r="F50" s="362"/>
      <c r="G50" s="362"/>
      <c r="H50" s="362"/>
      <c r="I50" s="362"/>
      <c r="J50" s="321"/>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row>
    <row r="51" spans="1:48" ht="27.75" customHeight="1">
      <c r="A51" s="595" t="s">
        <v>663</v>
      </c>
      <c r="B51" s="442" t="s">
        <v>664</v>
      </c>
      <c r="C51" s="714">
        <f>'1. Input - Water Balance'!$G$299</f>
        <v>0</v>
      </c>
      <c r="D51" s="715">
        <f>C51</f>
        <v>0</v>
      </c>
      <c r="E51" s="724"/>
      <c r="F51" s="361">
        <f>IF(C51&gt;0,1,0)</f>
        <v>0</v>
      </c>
      <c r="G51" s="361"/>
      <c r="H51" s="361"/>
      <c r="I51" s="361"/>
      <c r="J51" s="321"/>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row>
  </sheetData>
  <printOptions headings="1"/>
  <pageMargins left="0.75" right="0.75" top="1" bottom="1" header="0.5" footer="0.5"/>
  <pageSetup fitToHeight="1" fitToWidth="1" horizontalDpi="600" verticalDpi="600" orientation="portrait" scale="40" r:id="rId1"/>
  <headerFooter alignWithMargins="0">
    <oddHeader>&amp;C&amp;F</oddHeader>
    <oddFooter>&amp;LFAO/ITRC/Cal Poly ITRC&amp;C&amp;A&amp;RPage &amp;P</oddFooter>
  </headerFooter>
  <colBreaks count="3" manualBreakCount="3">
    <brk id="5" max="44" man="1"/>
    <brk id="23" max="65535" man="1"/>
    <brk id="36"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D227"/>
  <sheetViews>
    <sheetView zoomScale="75" zoomScaleNormal="75" workbookViewId="0" topLeftCell="A1">
      <selection activeCell="E1" sqref="E1"/>
    </sheetView>
  </sheetViews>
  <sheetFormatPr defaultColWidth="9.140625" defaultRowHeight="12.75"/>
  <cols>
    <col min="1" max="1" width="1.7109375" style="18" customWidth="1"/>
    <col min="2" max="2" width="84.421875" style="3" customWidth="1"/>
    <col min="3" max="3" width="14.421875" style="4" customWidth="1"/>
    <col min="4" max="4" width="3.8515625" style="5" customWidth="1"/>
    <col min="5" max="16384" width="9.140625" style="5" customWidth="1"/>
  </cols>
  <sheetData>
    <row r="1" spans="1:3" s="10" customFormat="1" ht="13.5" customHeight="1">
      <c r="A1" s="1"/>
      <c r="B1" s="743"/>
      <c r="C1" s="744"/>
    </row>
    <row r="2" spans="1:3" s="14" customFormat="1" ht="16.5" thickBot="1">
      <c r="A2" s="11" t="s">
        <v>1188</v>
      </c>
      <c r="B2" s="745"/>
      <c r="C2" s="746"/>
    </row>
    <row r="3" spans="1:3" s="14" customFormat="1" ht="17.25" thickBot="1" thickTop="1">
      <c r="A3" s="11"/>
      <c r="B3" s="747"/>
      <c r="C3" s="746"/>
    </row>
    <row r="4" spans="1:3" s="14" customFormat="1" ht="17.25" thickBot="1" thickTop="1">
      <c r="A4" s="11" t="s">
        <v>543</v>
      </c>
      <c r="B4" s="745"/>
      <c r="C4" s="746"/>
    </row>
    <row r="5" spans="2:3" s="14" customFormat="1" ht="17.25" thickBot="1" thickTop="1">
      <c r="B5" s="748"/>
      <c r="C5" s="746"/>
    </row>
    <row r="6" spans="2:3" s="14" customFormat="1" ht="16.5" thickTop="1">
      <c r="B6" s="745"/>
      <c r="C6" s="746"/>
    </row>
    <row r="7" spans="1:3" ht="12.75">
      <c r="A7" s="16" t="s">
        <v>555</v>
      </c>
      <c r="B7" s="39"/>
      <c r="C7" s="34"/>
    </row>
    <row r="8" spans="1:4" ht="12.75">
      <c r="A8" s="2"/>
      <c r="B8" s="19" t="s">
        <v>556</v>
      </c>
      <c r="C8" s="41"/>
      <c r="D8" s="683"/>
    </row>
    <row r="9" spans="1:4" ht="12.75">
      <c r="A9" s="2"/>
      <c r="B9" s="19" t="s">
        <v>557</v>
      </c>
      <c r="C9" s="42"/>
      <c r="D9" s="683"/>
    </row>
    <row r="10" spans="1:4" ht="12.75">
      <c r="A10" s="2"/>
      <c r="B10" s="19" t="s">
        <v>558</v>
      </c>
      <c r="C10" s="35"/>
      <c r="D10" s="683"/>
    </row>
    <row r="11" spans="1:3" ht="12.75">
      <c r="A11" s="128"/>
      <c r="B11" s="127" t="s">
        <v>1011</v>
      </c>
      <c r="C11" s="34"/>
    </row>
    <row r="12" spans="1:4" ht="12.75">
      <c r="A12" s="125"/>
      <c r="B12" s="20" t="s">
        <v>881</v>
      </c>
      <c r="C12" s="42"/>
      <c r="D12" s="683"/>
    </row>
    <row r="13" spans="1:4" ht="12.75">
      <c r="A13" s="126"/>
      <c r="B13" s="20" t="s">
        <v>882</v>
      </c>
      <c r="C13" s="368"/>
      <c r="D13" s="683"/>
    </row>
    <row r="14" spans="1:4" ht="12.75">
      <c r="A14" s="2"/>
      <c r="B14" s="19" t="s">
        <v>332</v>
      </c>
      <c r="C14" s="43"/>
      <c r="D14" s="683"/>
    </row>
    <row r="15" spans="1:4" ht="12.75">
      <c r="A15" s="2"/>
      <c r="B15" s="19" t="s">
        <v>340</v>
      </c>
      <c r="C15" s="35"/>
      <c r="D15" s="683"/>
    </row>
    <row r="16" spans="1:3" ht="12.75">
      <c r="A16" s="128"/>
      <c r="B16" s="127" t="s">
        <v>559</v>
      </c>
      <c r="C16" s="34"/>
    </row>
    <row r="17" spans="1:4" ht="12.75">
      <c r="A17" s="125"/>
      <c r="B17" s="20" t="s">
        <v>560</v>
      </c>
      <c r="C17" s="35"/>
      <c r="D17" s="683"/>
    </row>
    <row r="18" spans="1:4" ht="12.75">
      <c r="A18" s="125"/>
      <c r="B18" s="20" t="s">
        <v>561</v>
      </c>
      <c r="C18" s="35"/>
      <c r="D18" s="683"/>
    </row>
    <row r="19" spans="1:4" ht="12.75">
      <c r="A19" s="125"/>
      <c r="B19" s="20" t="s">
        <v>562</v>
      </c>
      <c r="C19" s="35"/>
      <c r="D19" s="683"/>
    </row>
    <row r="20" spans="1:4" ht="12.75">
      <c r="A20" s="126"/>
      <c r="B20" s="20" t="s">
        <v>563</v>
      </c>
      <c r="C20" s="35"/>
      <c r="D20" s="683"/>
    </row>
    <row r="21" spans="1:3" ht="12.75">
      <c r="A21" s="146"/>
      <c r="B21" s="365" t="s">
        <v>668</v>
      </c>
      <c r="C21" s="100">
        <f>SUM(C17:C20)</f>
        <v>0</v>
      </c>
    </row>
    <row r="22" spans="1:3" ht="12.75">
      <c r="A22" s="128"/>
      <c r="B22" s="127" t="s">
        <v>333</v>
      </c>
      <c r="C22" s="34"/>
    </row>
    <row r="23" spans="1:4" ht="12.75">
      <c r="A23" s="125"/>
      <c r="B23" s="20" t="s">
        <v>565</v>
      </c>
      <c r="C23" s="44"/>
      <c r="D23" s="683"/>
    </row>
    <row r="24" spans="1:4" ht="12.75">
      <c r="A24" s="125"/>
      <c r="B24" s="20" t="s">
        <v>566</v>
      </c>
      <c r="C24" s="44"/>
      <c r="D24" s="683"/>
    </row>
    <row r="25" spans="1:4" ht="12.75">
      <c r="A25" s="126"/>
      <c r="B25" s="20" t="s">
        <v>567</v>
      </c>
      <c r="C25" s="44"/>
      <c r="D25" s="683"/>
    </row>
    <row r="26" spans="1:3" ht="12.75">
      <c r="A26" s="126"/>
      <c r="B26" s="365" t="s">
        <v>668</v>
      </c>
      <c r="C26" s="366">
        <f>SUM(C23:C25)</f>
        <v>0</v>
      </c>
    </row>
    <row r="27" spans="1:3" ht="12.75">
      <c r="A27" s="15" t="s">
        <v>568</v>
      </c>
      <c r="B27" s="19"/>
      <c r="C27" s="34"/>
    </row>
    <row r="28" spans="1:4" ht="12.75">
      <c r="A28" s="15"/>
      <c r="B28" s="19" t="s">
        <v>336</v>
      </c>
      <c r="C28" s="35"/>
      <c r="D28" s="683"/>
    </row>
    <row r="29" spans="1:4" ht="12.75">
      <c r="A29" s="2"/>
      <c r="B29" s="19" t="s">
        <v>669</v>
      </c>
      <c r="C29" s="42"/>
      <c r="D29" s="683"/>
    </row>
    <row r="30" spans="1:4" ht="12.75">
      <c r="A30" s="2"/>
      <c r="B30" s="19" t="s">
        <v>337</v>
      </c>
      <c r="C30" s="35"/>
      <c r="D30" s="683"/>
    </row>
    <row r="31" spans="1:4" ht="12.75">
      <c r="A31" s="2"/>
      <c r="B31" s="19" t="s">
        <v>1248</v>
      </c>
      <c r="C31" s="35"/>
      <c r="D31" s="683"/>
    </row>
    <row r="32" spans="1:3" ht="12.75">
      <c r="A32" s="2"/>
      <c r="B32" s="76" t="s">
        <v>130</v>
      </c>
      <c r="C32" s="34"/>
    </row>
    <row r="33" spans="1:4" ht="25.5" customHeight="1">
      <c r="A33" s="2"/>
      <c r="B33" s="20" t="s">
        <v>131</v>
      </c>
      <c r="C33" s="35"/>
      <c r="D33" s="683"/>
    </row>
    <row r="34" spans="1:4" ht="12.75">
      <c r="A34" s="2"/>
      <c r="B34" s="20" t="s">
        <v>787</v>
      </c>
      <c r="C34" s="35"/>
      <c r="D34" s="683"/>
    </row>
    <row r="35" spans="1:4" s="4" customFormat="1" ht="12.75">
      <c r="A35" s="75"/>
      <c r="B35" s="131" t="s">
        <v>1010</v>
      </c>
      <c r="C35" s="35"/>
      <c r="D35" s="683"/>
    </row>
    <row r="36" spans="1:3" ht="12.75">
      <c r="A36" s="15" t="s">
        <v>463</v>
      </c>
      <c r="B36" s="19"/>
      <c r="C36" s="34"/>
    </row>
    <row r="37" spans="1:4" ht="12.75">
      <c r="A37" s="124"/>
      <c r="B37" s="20" t="s">
        <v>572</v>
      </c>
      <c r="C37" s="35"/>
      <c r="D37" s="683"/>
    </row>
    <row r="38" spans="1:4" ht="12.75">
      <c r="A38" s="129"/>
      <c r="B38" s="20" t="s">
        <v>573</v>
      </c>
      <c r="C38" s="35"/>
      <c r="D38" s="683"/>
    </row>
    <row r="39" spans="1:4" ht="12.75">
      <c r="A39" s="129"/>
      <c r="B39" s="20" t="s">
        <v>574</v>
      </c>
      <c r="C39" s="35"/>
      <c r="D39" s="683"/>
    </row>
    <row r="40" spans="1:4" ht="12.75">
      <c r="A40" s="125"/>
      <c r="B40" s="20" t="s">
        <v>575</v>
      </c>
      <c r="C40" s="35"/>
      <c r="D40" s="683"/>
    </row>
    <row r="41" spans="1:4" ht="12.75">
      <c r="A41" s="126"/>
      <c r="B41" s="20" t="s">
        <v>576</v>
      </c>
      <c r="C41" s="35"/>
      <c r="D41" s="683"/>
    </row>
    <row r="42" spans="1:3" ht="12.75">
      <c r="A42" s="15" t="s">
        <v>1132</v>
      </c>
      <c r="B42" s="19"/>
      <c r="C42" s="34"/>
    </row>
    <row r="43" spans="1:4" ht="12.75">
      <c r="A43" s="15"/>
      <c r="B43" s="19" t="s">
        <v>338</v>
      </c>
      <c r="C43" s="45"/>
      <c r="D43" s="683"/>
    </row>
    <row r="44" spans="1:4" ht="12.75">
      <c r="A44" s="15"/>
      <c r="B44" s="19" t="s">
        <v>441</v>
      </c>
      <c r="C44" s="45"/>
      <c r="D44" s="683"/>
    </row>
    <row r="45" spans="1:3" ht="12.75">
      <c r="A45" s="15"/>
      <c r="B45" s="19"/>
      <c r="C45" s="34"/>
    </row>
    <row r="46" spans="1:3" ht="12.75">
      <c r="A46" s="15" t="s">
        <v>885</v>
      </c>
      <c r="B46" s="20"/>
      <c r="C46" s="34"/>
    </row>
    <row r="47" spans="1:4" ht="12.75">
      <c r="A47" s="2"/>
      <c r="B47" s="21" t="s">
        <v>103</v>
      </c>
      <c r="C47" s="35"/>
      <c r="D47" s="683"/>
    </row>
    <row r="48" spans="1:4" ht="12.75">
      <c r="A48" s="2"/>
      <c r="B48" s="21" t="s">
        <v>104</v>
      </c>
      <c r="C48" s="35"/>
      <c r="D48" s="683"/>
    </row>
    <row r="49" spans="1:3" ht="12.75">
      <c r="A49" s="2"/>
      <c r="B49" s="21"/>
      <c r="C49" s="34"/>
    </row>
    <row r="50" spans="1:3" ht="12.75">
      <c r="A50" s="15" t="s">
        <v>883</v>
      </c>
      <c r="B50" s="19"/>
      <c r="C50" s="34"/>
    </row>
    <row r="51" spans="1:3" ht="12.75">
      <c r="A51" s="128"/>
      <c r="B51" s="113" t="s">
        <v>884</v>
      </c>
      <c r="C51" s="34"/>
    </row>
    <row r="52" spans="1:4" ht="12.75">
      <c r="A52" s="125"/>
      <c r="B52" s="20" t="s">
        <v>1134</v>
      </c>
      <c r="C52" s="367"/>
      <c r="D52" s="683"/>
    </row>
    <row r="53" spans="1:4" ht="12.75">
      <c r="A53" s="125"/>
      <c r="B53" s="20" t="s">
        <v>1135</v>
      </c>
      <c r="C53" s="368"/>
      <c r="D53" s="683"/>
    </row>
    <row r="54" spans="1:4" ht="12.75">
      <c r="A54" s="125"/>
      <c r="B54" s="20" t="s">
        <v>125</v>
      </c>
      <c r="C54" s="368"/>
      <c r="D54" s="683"/>
    </row>
    <row r="55" spans="1:4" ht="12.75">
      <c r="A55" s="125"/>
      <c r="B55" s="20" t="s">
        <v>126</v>
      </c>
      <c r="C55" s="368"/>
      <c r="D55" s="683"/>
    </row>
    <row r="56" spans="1:4" ht="12.75">
      <c r="A56" s="126"/>
      <c r="B56" s="20" t="s">
        <v>127</v>
      </c>
      <c r="C56" s="368"/>
      <c r="D56" s="683"/>
    </row>
    <row r="57" spans="1:4" ht="12.75">
      <c r="A57" s="146"/>
      <c r="B57" s="133" t="s">
        <v>51</v>
      </c>
      <c r="C57" s="368"/>
      <c r="D57" s="683"/>
    </row>
    <row r="58" spans="1:3" ht="12.75">
      <c r="A58" s="146"/>
      <c r="B58" s="133" t="s">
        <v>52</v>
      </c>
      <c r="C58" s="145">
        <f>SUM(C53:C57)</f>
        <v>0</v>
      </c>
    </row>
    <row r="59" spans="1:3" ht="12.75">
      <c r="A59" s="146"/>
      <c r="B59" s="133"/>
      <c r="C59" s="34"/>
    </row>
    <row r="60" spans="1:4" ht="24.75" customHeight="1">
      <c r="A60" s="146"/>
      <c r="B60" s="133" t="s">
        <v>483</v>
      </c>
      <c r="C60" s="750"/>
      <c r="D60" s="683"/>
    </row>
    <row r="61" spans="1:3" ht="12.75">
      <c r="A61" s="128"/>
      <c r="B61" s="130" t="s">
        <v>1136</v>
      </c>
      <c r="C61" s="34"/>
    </row>
    <row r="62" spans="1:4" ht="12.75">
      <c r="A62" s="125"/>
      <c r="B62" s="20" t="s">
        <v>1133</v>
      </c>
      <c r="C62" s="42"/>
      <c r="D62" s="683"/>
    </row>
    <row r="63" spans="1:4" ht="12.75">
      <c r="A63" s="125"/>
      <c r="B63" s="20" t="s">
        <v>569</v>
      </c>
      <c r="C63" s="42"/>
      <c r="D63" s="683"/>
    </row>
    <row r="64" spans="1:3" ht="12.75">
      <c r="A64" s="126"/>
      <c r="B64" s="20" t="s">
        <v>402</v>
      </c>
      <c r="C64" s="145" t="e">
        <f>100*('7. WUA'!C43/C58)</f>
        <v>#DIV/0!</v>
      </c>
    </row>
    <row r="65" spans="1:3" ht="12.75">
      <c r="A65" s="126"/>
      <c r="B65" s="365" t="s">
        <v>868</v>
      </c>
      <c r="C65" s="145" t="e">
        <f>C62+C63+C64</f>
        <v>#DIV/0!</v>
      </c>
    </row>
    <row r="66" spans="1:3" ht="12.75">
      <c r="A66" s="2"/>
      <c r="B66" s="22" t="s">
        <v>570</v>
      </c>
      <c r="C66" s="34"/>
    </row>
    <row r="67" spans="1:4" ht="12.75">
      <c r="A67" s="2"/>
      <c r="B67" s="21" t="s">
        <v>15</v>
      </c>
      <c r="C67" s="396"/>
      <c r="D67" s="683"/>
    </row>
    <row r="68" spans="1:4" ht="12.75">
      <c r="A68" s="2"/>
      <c r="B68" s="21" t="s">
        <v>14</v>
      </c>
      <c r="C68" s="396"/>
      <c r="D68" s="683"/>
    </row>
    <row r="69" spans="1:4" ht="12.75">
      <c r="A69" s="126"/>
      <c r="B69" s="21" t="s">
        <v>16</v>
      </c>
      <c r="C69" s="396"/>
      <c r="D69" s="683"/>
    </row>
    <row r="70" spans="1:4" ht="12.75">
      <c r="A70" s="128"/>
      <c r="B70" s="21" t="s">
        <v>17</v>
      </c>
      <c r="C70" s="395"/>
      <c r="D70" s="683"/>
    </row>
    <row r="71" spans="1:3" ht="12.75">
      <c r="A71" s="125"/>
      <c r="B71" s="20" t="s">
        <v>18</v>
      </c>
      <c r="C71" s="145">
        <f>SUM(C67:C70)</f>
        <v>0</v>
      </c>
    </row>
    <row r="72" spans="1:4" ht="12.75">
      <c r="A72" s="125"/>
      <c r="B72" s="21" t="s">
        <v>19</v>
      </c>
      <c r="C72" s="45"/>
      <c r="D72" s="683"/>
    </row>
    <row r="73" spans="1:4" ht="12.75">
      <c r="A73" s="125"/>
      <c r="B73" s="21" t="s">
        <v>339</v>
      </c>
      <c r="C73" s="42"/>
      <c r="D73" s="683"/>
    </row>
    <row r="74" spans="1:3" ht="12.75">
      <c r="A74" s="2"/>
      <c r="B74" s="20"/>
      <c r="C74" s="34"/>
    </row>
    <row r="75" spans="1:3" ht="12.75">
      <c r="A75" s="128"/>
      <c r="B75" s="130" t="s">
        <v>117</v>
      </c>
      <c r="C75" s="34"/>
    </row>
    <row r="76" spans="1:4" ht="12.75">
      <c r="A76" s="125"/>
      <c r="B76" s="20" t="s">
        <v>1002</v>
      </c>
      <c r="C76" s="42"/>
      <c r="D76" s="683"/>
    </row>
    <row r="77" spans="1:4" ht="12.75">
      <c r="A77" s="125"/>
      <c r="B77" s="20" t="s">
        <v>1003</v>
      </c>
      <c r="C77" s="42"/>
      <c r="D77" s="683"/>
    </row>
    <row r="78" spans="1:4" ht="12.75">
      <c r="A78" s="125"/>
      <c r="B78" s="20" t="s">
        <v>1004</v>
      </c>
      <c r="C78" s="42"/>
      <c r="D78" s="683"/>
    </row>
    <row r="79" spans="1:4" ht="12.75">
      <c r="A79" s="126"/>
      <c r="B79" s="20" t="s">
        <v>1005</v>
      </c>
      <c r="C79" s="42"/>
      <c r="D79" s="683"/>
    </row>
    <row r="80" spans="1:3" ht="13.5" thickBot="1">
      <c r="A80" s="2"/>
      <c r="B80" s="77"/>
      <c r="C80" s="34"/>
    </row>
    <row r="81" spans="1:3" ht="24.75" thickBot="1">
      <c r="A81" s="2"/>
      <c r="B81" s="369" t="s">
        <v>670</v>
      </c>
      <c r="C81" s="98" t="e">
        <f>100*'7. WUA'!C86/(C54+C55+C56+C57+('7. WUA'!C39+'7. WUA'!C40+'7. WUA'!C41+'7. WUA'!C42))</f>
        <v>#DIV/0!</v>
      </c>
    </row>
    <row r="82" spans="1:3" ht="13.5" thickBot="1">
      <c r="A82" s="2"/>
      <c r="B82" s="26" t="s">
        <v>1137</v>
      </c>
      <c r="C82" s="370" t="e">
        <f>IF(C81&lt;40,0,IF(C81&lt;60,1,IF(C81&lt;75,2,IF(C81&lt;90,3,4))))</f>
        <v>#DIV/0!</v>
      </c>
    </row>
    <row r="83" spans="1:3" ht="39.75" customHeight="1" thickBot="1">
      <c r="A83" s="2"/>
      <c r="B83" s="7" t="s">
        <v>789</v>
      </c>
      <c r="C83" s="397" t="e">
        <f>100*(C53+'7. WUA'!C38)/(C58+'7. WUA'!C44-'7. WUA'!C43)</f>
        <v>#DIV/0!</v>
      </c>
    </row>
    <row r="84" spans="1:3" ht="13.5" thickBot="1">
      <c r="A84" s="2"/>
      <c r="B84" s="26" t="s">
        <v>132</v>
      </c>
      <c r="C84" s="99" t="e">
        <f>IF(C83&lt;=5,0,IF(C83&lt;=10,1,IF(C83&lt;=15,2,IF(C83&lt;=20,3,4))))</f>
        <v>#DIV/0!</v>
      </c>
    </row>
    <row r="85" spans="1:3" ht="24.75" thickBot="1">
      <c r="A85" s="2"/>
      <c r="B85" s="40" t="s">
        <v>129</v>
      </c>
      <c r="C85" s="34"/>
    </row>
    <row r="86" spans="1:3" ht="54" customHeight="1" thickBot="1">
      <c r="A86" s="2"/>
      <c r="B86" s="7" t="s">
        <v>20</v>
      </c>
      <c r="C86" s="27"/>
    </row>
    <row r="87" spans="1:3" ht="13.5" thickBot="1">
      <c r="A87" s="2"/>
      <c r="B87" s="26" t="s">
        <v>1138</v>
      </c>
      <c r="C87" s="99">
        <f>IF(C86&lt;40,0,IF(C86&lt;60,1,IF(C86&lt;75,2,IF(C86&lt;90,3,4))))</f>
        <v>0</v>
      </c>
    </row>
    <row r="88" spans="1:3" ht="12.75">
      <c r="A88" s="2"/>
      <c r="B88" s="77"/>
      <c r="C88" s="34"/>
    </row>
    <row r="89" spans="1:3" ht="12.75">
      <c r="A89" s="15" t="s">
        <v>582</v>
      </c>
      <c r="B89" s="19"/>
      <c r="C89" s="34"/>
    </row>
    <row r="90" spans="1:3" ht="15.75">
      <c r="A90" s="15"/>
      <c r="B90" s="30" t="s">
        <v>583</v>
      </c>
      <c r="C90" s="400"/>
    </row>
    <row r="91" spans="1:4" ht="12.75">
      <c r="A91" s="15"/>
      <c r="B91" s="19" t="s">
        <v>133</v>
      </c>
      <c r="C91" s="35"/>
      <c r="D91" s="684"/>
    </row>
    <row r="92" spans="1:4" ht="12.75">
      <c r="A92" s="15"/>
      <c r="B92" s="19" t="s">
        <v>134</v>
      </c>
      <c r="C92" s="35"/>
      <c r="D92" s="684"/>
    </row>
    <row r="93" spans="1:4" ht="12.75">
      <c r="A93" s="15"/>
      <c r="B93" s="20" t="s">
        <v>940</v>
      </c>
      <c r="C93" s="35"/>
      <c r="D93" s="684"/>
    </row>
    <row r="94" spans="1:4" ht="12.75">
      <c r="A94" s="15"/>
      <c r="B94" s="19" t="s">
        <v>135</v>
      </c>
      <c r="C94" s="35"/>
      <c r="D94" s="684"/>
    </row>
    <row r="95" spans="1:4" ht="12.75">
      <c r="A95" s="15"/>
      <c r="B95" s="20" t="s">
        <v>941</v>
      </c>
      <c r="C95" s="35"/>
      <c r="D95" s="684"/>
    </row>
    <row r="96" spans="1:4" ht="12.75">
      <c r="A96" s="15"/>
      <c r="B96" s="19" t="s">
        <v>101</v>
      </c>
      <c r="C96" s="35"/>
      <c r="D96" s="684"/>
    </row>
    <row r="97" spans="1:3" ht="12.75">
      <c r="A97" s="15"/>
      <c r="B97" s="20" t="s">
        <v>942</v>
      </c>
      <c r="C97" s="35"/>
    </row>
    <row r="98" spans="1:3" ht="12.75">
      <c r="A98" s="15"/>
      <c r="B98" s="29" t="s">
        <v>720</v>
      </c>
      <c r="C98" s="34"/>
    </row>
    <row r="99" spans="1:3" ht="12.75">
      <c r="A99" s="15"/>
      <c r="B99" s="21" t="s">
        <v>584</v>
      </c>
      <c r="C99" s="35"/>
    </row>
    <row r="100" spans="1:3" ht="12.75">
      <c r="A100" s="135"/>
      <c r="B100" s="130" t="s">
        <v>371</v>
      </c>
      <c r="C100" s="34"/>
    </row>
    <row r="101" spans="1:3" ht="12.75">
      <c r="A101" s="129"/>
      <c r="B101" s="20" t="s">
        <v>21</v>
      </c>
      <c r="C101" s="35"/>
    </row>
    <row r="102" spans="1:3" ht="12.75">
      <c r="A102" s="129"/>
      <c r="B102" s="20" t="s">
        <v>22</v>
      </c>
      <c r="C102" s="35"/>
    </row>
    <row r="103" spans="1:3" ht="12.75">
      <c r="A103" s="129"/>
      <c r="B103" s="20" t="s">
        <v>23</v>
      </c>
      <c r="C103" s="35"/>
    </row>
    <row r="104" spans="1:3" ht="12.75">
      <c r="A104" s="126"/>
      <c r="B104" s="20" t="s">
        <v>24</v>
      </c>
      <c r="C104" s="35"/>
    </row>
    <row r="105" spans="1:3" ht="12.75">
      <c r="A105" s="2"/>
      <c r="B105" s="22" t="s">
        <v>747</v>
      </c>
      <c r="C105" s="34"/>
    </row>
    <row r="106" spans="1:3" ht="12.75">
      <c r="A106" s="2"/>
      <c r="B106" s="21" t="s">
        <v>105</v>
      </c>
      <c r="C106" s="35"/>
    </row>
    <row r="107" spans="1:3" ht="13.5" thickBot="1">
      <c r="A107" s="2"/>
      <c r="B107" s="20" t="s">
        <v>102</v>
      </c>
      <c r="C107" s="38"/>
    </row>
    <row r="108" spans="1:3" ht="13.5" thickBot="1">
      <c r="A108" s="2"/>
      <c r="B108" s="26" t="s">
        <v>939</v>
      </c>
      <c r="C108" s="27"/>
    </row>
    <row r="109" spans="1:3" ht="12.75">
      <c r="A109" s="2"/>
      <c r="B109" s="21" t="s">
        <v>106</v>
      </c>
      <c r="C109" s="37"/>
    </row>
    <row r="110" spans="1:3" ht="13.5" thickBot="1">
      <c r="A110" s="2"/>
      <c r="B110" s="20" t="s">
        <v>102</v>
      </c>
      <c r="C110" s="38"/>
    </row>
    <row r="111" spans="1:3" ht="13.5" thickBot="1">
      <c r="A111" s="2"/>
      <c r="B111" s="26" t="s">
        <v>939</v>
      </c>
      <c r="C111" s="27"/>
    </row>
    <row r="112" spans="1:3" ht="12.75">
      <c r="A112" s="2"/>
      <c r="B112" s="21" t="s">
        <v>107</v>
      </c>
      <c r="C112" s="37"/>
    </row>
    <row r="113" spans="1:3" ht="13.5" thickBot="1">
      <c r="A113" s="2"/>
      <c r="B113" s="20" t="s">
        <v>102</v>
      </c>
      <c r="C113" s="38"/>
    </row>
    <row r="114" spans="1:3" ht="13.5" thickBot="1">
      <c r="A114" s="2"/>
      <c r="B114" s="26" t="s">
        <v>939</v>
      </c>
      <c r="C114" s="27"/>
    </row>
    <row r="115" spans="1:3" ht="12.75">
      <c r="A115" s="2"/>
      <c r="B115" s="21" t="s">
        <v>108</v>
      </c>
      <c r="C115" s="37"/>
    </row>
    <row r="116" spans="1:3" ht="13.5" thickBot="1">
      <c r="A116" s="2" t="s">
        <v>585</v>
      </c>
      <c r="B116" s="20" t="s">
        <v>102</v>
      </c>
      <c r="C116" s="38"/>
    </row>
    <row r="117" spans="1:3" ht="13.5" thickBot="1">
      <c r="A117" s="2"/>
      <c r="B117" s="26" t="s">
        <v>939</v>
      </c>
      <c r="C117" s="27"/>
    </row>
    <row r="118" spans="1:3" ht="13.5" thickBot="1">
      <c r="A118" s="2"/>
      <c r="B118" s="26"/>
      <c r="C118" s="47"/>
    </row>
    <row r="119" spans="1:3" ht="24.75" thickBot="1">
      <c r="A119" s="128"/>
      <c r="B119" s="130" t="s">
        <v>109</v>
      </c>
      <c r="C119" s="27"/>
    </row>
    <row r="120" spans="1:3" ht="27" customHeight="1">
      <c r="A120" s="125"/>
      <c r="B120" s="25" t="s">
        <v>25</v>
      </c>
      <c r="C120" s="33"/>
    </row>
    <row r="121" spans="1:3" ht="12.75">
      <c r="A121" s="125"/>
      <c r="B121" s="25" t="s">
        <v>835</v>
      </c>
      <c r="C121" s="34"/>
    </row>
    <row r="122" spans="1:3" ht="24">
      <c r="A122" s="125"/>
      <c r="B122" s="25" t="s">
        <v>836</v>
      </c>
      <c r="C122" s="34"/>
    </row>
    <row r="123" spans="1:3" ht="24">
      <c r="A123" s="125"/>
      <c r="B123" s="25" t="s">
        <v>837</v>
      </c>
      <c r="C123" s="34"/>
    </row>
    <row r="124" spans="1:3" ht="12.75">
      <c r="A124" s="126"/>
      <c r="B124" s="25" t="s">
        <v>838</v>
      </c>
      <c r="C124" s="34"/>
    </row>
    <row r="125" spans="1:3" ht="12.75">
      <c r="A125" s="128"/>
      <c r="B125" s="132" t="s">
        <v>719</v>
      </c>
      <c r="C125" s="35"/>
    </row>
    <row r="126" spans="1:3" ht="12.75">
      <c r="A126" s="125"/>
      <c r="B126" s="25" t="s">
        <v>771</v>
      </c>
      <c r="C126" s="34"/>
    </row>
    <row r="127" spans="1:3" ht="24">
      <c r="A127" s="125"/>
      <c r="B127" s="25" t="s">
        <v>772</v>
      </c>
      <c r="C127" s="34"/>
    </row>
    <row r="128" spans="1:3" ht="12.75">
      <c r="A128" s="125"/>
      <c r="B128" s="25" t="s">
        <v>832</v>
      </c>
      <c r="C128" s="34"/>
    </row>
    <row r="129" spans="1:3" ht="24">
      <c r="A129" s="125"/>
      <c r="B129" s="25" t="s">
        <v>833</v>
      </c>
      <c r="C129" s="34"/>
    </row>
    <row r="130" spans="1:3" ht="12.75">
      <c r="A130" s="126"/>
      <c r="B130" s="25" t="s">
        <v>834</v>
      </c>
      <c r="C130" s="34"/>
    </row>
    <row r="131" spans="1:3" ht="12.75">
      <c r="A131" s="2"/>
      <c r="B131" s="20"/>
      <c r="C131" s="34"/>
    </row>
    <row r="132" spans="1:3" ht="15.75">
      <c r="A132" s="15"/>
      <c r="B132" s="32" t="s">
        <v>547</v>
      </c>
      <c r="C132" s="34"/>
    </row>
    <row r="133" spans="1:3" ht="17.25" customHeight="1">
      <c r="A133" s="31" t="s">
        <v>1179</v>
      </c>
      <c r="C133" s="34"/>
    </row>
    <row r="134" spans="1:3" ht="12.75">
      <c r="A134" s="128"/>
      <c r="B134" s="132" t="s">
        <v>261</v>
      </c>
      <c r="C134" s="78"/>
    </row>
    <row r="135" spans="1:3" ht="24">
      <c r="A135" s="125"/>
      <c r="B135" s="25" t="s">
        <v>886</v>
      </c>
      <c r="C135" s="34"/>
    </row>
    <row r="136" spans="1:3" ht="24">
      <c r="A136" s="125"/>
      <c r="B136" s="25" t="s">
        <v>887</v>
      </c>
      <c r="C136" s="34"/>
    </row>
    <row r="137" spans="1:3" ht="12.75">
      <c r="A137" s="125"/>
      <c r="B137" s="25" t="s">
        <v>888</v>
      </c>
      <c r="C137" s="34"/>
    </row>
    <row r="138" spans="1:3" ht="25.5" customHeight="1">
      <c r="A138" s="125"/>
      <c r="B138" s="25" t="s">
        <v>889</v>
      </c>
      <c r="C138" s="34"/>
    </row>
    <row r="139" spans="1:3" ht="24">
      <c r="A139" s="126"/>
      <c r="B139" s="25" t="s">
        <v>1336</v>
      </c>
      <c r="C139" s="34"/>
    </row>
    <row r="140" spans="1:3" ht="12.75">
      <c r="A140" s="128"/>
      <c r="B140" s="132" t="s">
        <v>260</v>
      </c>
      <c r="C140" s="78"/>
    </row>
    <row r="141" spans="1:3" ht="24">
      <c r="A141" s="125"/>
      <c r="B141" s="25" t="s">
        <v>544</v>
      </c>
      <c r="C141" s="34"/>
    </row>
    <row r="142" spans="1:3" ht="24">
      <c r="A142" s="125"/>
      <c r="B142" s="25" t="s">
        <v>545</v>
      </c>
      <c r="C142" s="34"/>
    </row>
    <row r="143" spans="1:3" ht="24">
      <c r="A143" s="125"/>
      <c r="B143" s="25" t="s">
        <v>1337</v>
      </c>
      <c r="C143" s="34"/>
    </row>
    <row r="144" spans="1:3" ht="24">
      <c r="A144" s="125"/>
      <c r="B144" s="25" t="s">
        <v>258</v>
      </c>
      <c r="C144" s="34"/>
    </row>
    <row r="145" spans="1:3" ht="24">
      <c r="A145" s="126"/>
      <c r="B145" s="25" t="s">
        <v>259</v>
      </c>
      <c r="C145" s="34"/>
    </row>
    <row r="146" spans="1:3" ht="12.75">
      <c r="A146" s="128"/>
      <c r="B146" s="132" t="s">
        <v>262</v>
      </c>
      <c r="C146" s="78"/>
    </row>
    <row r="147" spans="1:3" ht="12.75">
      <c r="A147" s="125"/>
      <c r="B147" s="25" t="s">
        <v>263</v>
      </c>
      <c r="C147" s="34"/>
    </row>
    <row r="148" spans="1:3" ht="12.75">
      <c r="A148" s="125"/>
      <c r="B148" s="25" t="s">
        <v>265</v>
      </c>
      <c r="C148" s="34"/>
    </row>
    <row r="149" spans="1:3" ht="12.75">
      <c r="A149" s="125"/>
      <c r="B149" s="25" t="s">
        <v>264</v>
      </c>
      <c r="C149" s="34"/>
    </row>
    <row r="150" spans="1:3" ht="12.75">
      <c r="A150" s="125"/>
      <c r="B150" s="25" t="s">
        <v>266</v>
      </c>
      <c r="C150" s="34"/>
    </row>
    <row r="151" spans="1:3" ht="12.75">
      <c r="A151" s="126"/>
      <c r="B151" s="25" t="s">
        <v>267</v>
      </c>
      <c r="C151" s="34"/>
    </row>
    <row r="152" spans="1:3" ht="12.75">
      <c r="A152" s="128"/>
      <c r="B152" s="132" t="s">
        <v>546</v>
      </c>
      <c r="C152" s="78"/>
    </row>
    <row r="153" spans="1:3" ht="12.75">
      <c r="A153" s="125"/>
      <c r="B153" s="25" t="s">
        <v>268</v>
      </c>
      <c r="C153" s="34"/>
    </row>
    <row r="154" spans="1:3" ht="12.75">
      <c r="A154" s="125"/>
      <c r="B154" s="25" t="s">
        <v>269</v>
      </c>
      <c r="C154" s="34"/>
    </row>
    <row r="155" spans="1:3" ht="12.75">
      <c r="A155" s="125"/>
      <c r="B155" s="25" t="s">
        <v>270</v>
      </c>
      <c r="C155" s="34"/>
    </row>
    <row r="156" spans="1:3" ht="12.75">
      <c r="A156" s="125"/>
      <c r="B156" s="25" t="s">
        <v>271</v>
      </c>
      <c r="C156" s="34"/>
    </row>
    <row r="157" spans="1:3" ht="12.75">
      <c r="A157" s="126"/>
      <c r="B157" s="25" t="s">
        <v>272</v>
      </c>
      <c r="C157" s="34"/>
    </row>
    <row r="158" spans="1:3" ht="12.75">
      <c r="A158" s="2"/>
      <c r="B158" s="25"/>
      <c r="C158" s="34"/>
    </row>
    <row r="159" spans="1:3" ht="12">
      <c r="A159" s="55" t="s">
        <v>1178</v>
      </c>
      <c r="B159" s="25"/>
      <c r="C159" s="34"/>
    </row>
    <row r="160" spans="1:3" ht="12.75">
      <c r="A160" s="128"/>
      <c r="B160" s="132" t="s">
        <v>1057</v>
      </c>
      <c r="C160" s="78"/>
    </row>
    <row r="161" spans="1:3" ht="12.75">
      <c r="A161" s="125"/>
      <c r="B161" s="25" t="s">
        <v>548</v>
      </c>
      <c r="C161" s="34"/>
    </row>
    <row r="162" spans="1:3" ht="12.75">
      <c r="A162" s="125"/>
      <c r="B162" s="25" t="s">
        <v>549</v>
      </c>
      <c r="C162" s="34"/>
    </row>
    <row r="163" spans="1:3" ht="12.75">
      <c r="A163" s="125"/>
      <c r="B163" s="25" t="s">
        <v>550</v>
      </c>
      <c r="C163" s="34"/>
    </row>
    <row r="164" spans="1:3" ht="12.75">
      <c r="A164" s="125"/>
      <c r="B164" s="25" t="s">
        <v>551</v>
      </c>
      <c r="C164" s="34"/>
    </row>
    <row r="165" spans="1:3" ht="12.75">
      <c r="A165" s="126"/>
      <c r="B165" s="25" t="s">
        <v>552</v>
      </c>
      <c r="C165" s="34"/>
    </row>
    <row r="166" spans="1:3" ht="12.75">
      <c r="A166" s="128"/>
      <c r="B166" s="132" t="s">
        <v>200</v>
      </c>
      <c r="C166" s="78"/>
    </row>
    <row r="167" spans="1:3" ht="12.75">
      <c r="A167" s="125"/>
      <c r="B167" s="25" t="s">
        <v>749</v>
      </c>
      <c r="C167" s="34"/>
    </row>
    <row r="168" spans="1:3" ht="12.75">
      <c r="A168" s="125"/>
      <c r="B168" s="25" t="s">
        <v>750</v>
      </c>
      <c r="C168" s="34"/>
    </row>
    <row r="169" spans="1:3" ht="12.75">
      <c r="A169" s="125"/>
      <c r="B169" s="25" t="s">
        <v>751</v>
      </c>
      <c r="C169" s="34"/>
    </row>
    <row r="170" spans="1:3" ht="12.75">
      <c r="A170" s="125"/>
      <c r="B170" s="25" t="s">
        <v>752</v>
      </c>
      <c r="C170" s="34"/>
    </row>
    <row r="171" spans="1:3" ht="12.75">
      <c r="A171" s="126"/>
      <c r="B171" s="25" t="s">
        <v>753</v>
      </c>
      <c r="C171" s="34"/>
    </row>
    <row r="172" spans="1:3" ht="12.75">
      <c r="A172" s="128"/>
      <c r="B172" s="132" t="s">
        <v>201</v>
      </c>
      <c r="C172" s="78"/>
    </row>
    <row r="173" spans="1:3" ht="12.75">
      <c r="A173" s="125"/>
      <c r="B173" s="25" t="s">
        <v>755</v>
      </c>
      <c r="C173" s="34"/>
    </row>
    <row r="174" spans="1:3" ht="12.75">
      <c r="A174" s="125"/>
      <c r="B174" s="25" t="s">
        <v>756</v>
      </c>
      <c r="C174" s="34"/>
    </row>
    <row r="175" spans="1:3" ht="12.75">
      <c r="A175" s="125"/>
      <c r="B175" s="25" t="s">
        <v>757</v>
      </c>
      <c r="C175" s="34"/>
    </row>
    <row r="176" spans="1:3" ht="12.75">
      <c r="A176" s="125"/>
      <c r="B176" s="25" t="s">
        <v>758</v>
      </c>
      <c r="C176" s="34"/>
    </row>
    <row r="177" spans="1:3" ht="12.75">
      <c r="A177" s="126"/>
      <c r="B177" s="25" t="s">
        <v>759</v>
      </c>
      <c r="C177" s="34"/>
    </row>
    <row r="178" spans="1:3" ht="12.75">
      <c r="A178" s="128"/>
      <c r="B178" s="132" t="s">
        <v>202</v>
      </c>
      <c r="C178" s="45"/>
    </row>
    <row r="179" spans="1:3" ht="24">
      <c r="A179" s="125"/>
      <c r="B179" s="25" t="s">
        <v>761</v>
      </c>
      <c r="C179" s="34"/>
    </row>
    <row r="180" spans="1:3" ht="24">
      <c r="A180" s="125"/>
      <c r="B180" s="25" t="s">
        <v>762</v>
      </c>
      <c r="C180" s="34"/>
    </row>
    <row r="181" spans="1:3" ht="24.75" customHeight="1">
      <c r="A181" s="125"/>
      <c r="B181" s="25" t="s">
        <v>763</v>
      </c>
      <c r="C181" s="34"/>
    </row>
    <row r="182" spans="1:3" ht="27" customHeight="1">
      <c r="A182" s="125"/>
      <c r="B182" s="25" t="s">
        <v>26</v>
      </c>
      <c r="C182" s="34"/>
    </row>
    <row r="183" spans="1:3" ht="24">
      <c r="A183" s="126"/>
      <c r="B183" s="25" t="s">
        <v>764</v>
      </c>
      <c r="C183" s="34"/>
    </row>
    <row r="184" spans="1:3" ht="12.75">
      <c r="A184" s="128"/>
      <c r="B184" s="132" t="s">
        <v>203</v>
      </c>
      <c r="C184" s="45"/>
    </row>
    <row r="185" spans="1:3" ht="24">
      <c r="A185" s="125"/>
      <c r="B185" s="25" t="s">
        <v>765</v>
      </c>
      <c r="C185" s="34"/>
    </row>
    <row r="186" spans="1:3" ht="24">
      <c r="A186" s="125"/>
      <c r="B186" s="25" t="s">
        <v>766</v>
      </c>
      <c r="C186" s="34"/>
    </row>
    <row r="187" spans="1:3" ht="24">
      <c r="A187" s="125"/>
      <c r="B187" s="25" t="s">
        <v>767</v>
      </c>
      <c r="C187" s="34"/>
    </row>
    <row r="188" spans="1:3" ht="12.75">
      <c r="A188" s="125"/>
      <c r="B188" s="25" t="s">
        <v>768</v>
      </c>
      <c r="C188" s="34"/>
    </row>
    <row r="189" spans="1:3" ht="24">
      <c r="A189" s="126"/>
      <c r="B189" s="25" t="s">
        <v>769</v>
      </c>
      <c r="C189" s="34"/>
    </row>
    <row r="190" spans="1:3" ht="12.75">
      <c r="A190" s="2"/>
      <c r="B190" s="25"/>
      <c r="C190" s="34"/>
    </row>
    <row r="191" spans="1:3" ht="12">
      <c r="A191" s="24" t="s">
        <v>184</v>
      </c>
      <c r="B191" s="25"/>
      <c r="C191" s="34"/>
    </row>
    <row r="192" spans="1:3" ht="12.75">
      <c r="A192" s="128"/>
      <c r="B192" s="132" t="s">
        <v>1056</v>
      </c>
      <c r="C192" s="78"/>
    </row>
    <row r="193" spans="1:3" ht="12.75">
      <c r="A193" s="125"/>
      <c r="B193" s="25" t="s">
        <v>749</v>
      </c>
      <c r="C193" s="34"/>
    </row>
    <row r="194" spans="1:3" ht="12.75">
      <c r="A194" s="125"/>
      <c r="B194" s="25" t="s">
        <v>750</v>
      </c>
      <c r="C194" s="34"/>
    </row>
    <row r="195" spans="1:3" ht="12.75">
      <c r="A195" s="125"/>
      <c r="B195" s="25" t="s">
        <v>751</v>
      </c>
      <c r="C195" s="34"/>
    </row>
    <row r="196" spans="1:3" ht="12.75">
      <c r="A196" s="125"/>
      <c r="B196" s="25" t="s">
        <v>752</v>
      </c>
      <c r="C196" s="34"/>
    </row>
    <row r="197" spans="1:3" ht="12.75">
      <c r="A197" s="126"/>
      <c r="B197" s="25" t="s">
        <v>753</v>
      </c>
      <c r="C197" s="34"/>
    </row>
    <row r="198" spans="1:3" ht="12.75">
      <c r="A198" s="128"/>
      <c r="B198" s="132" t="s">
        <v>186</v>
      </c>
      <c r="C198" s="78"/>
    </row>
    <row r="199" spans="1:3" ht="12.75">
      <c r="A199" s="125"/>
      <c r="B199" s="25" t="s">
        <v>755</v>
      </c>
      <c r="C199" s="34"/>
    </row>
    <row r="200" spans="1:3" ht="12.75">
      <c r="A200" s="125"/>
      <c r="B200" s="25" t="s">
        <v>756</v>
      </c>
      <c r="C200" s="34"/>
    </row>
    <row r="201" spans="1:3" ht="12.75">
      <c r="A201" s="125"/>
      <c r="B201" s="25" t="s">
        <v>757</v>
      </c>
      <c r="C201" s="34"/>
    </row>
    <row r="202" spans="1:3" ht="12.75">
      <c r="A202" s="125"/>
      <c r="B202" s="25" t="s">
        <v>758</v>
      </c>
      <c r="C202" s="34"/>
    </row>
    <row r="203" spans="1:3" ht="12.75">
      <c r="A203" s="126"/>
      <c r="B203" s="25" t="s">
        <v>759</v>
      </c>
      <c r="C203" s="34"/>
    </row>
    <row r="204" spans="1:3" ht="12.75">
      <c r="A204" s="128"/>
      <c r="B204" s="132" t="s">
        <v>179</v>
      </c>
      <c r="C204" s="45"/>
    </row>
    <row r="205" spans="1:3" ht="24">
      <c r="A205" s="125"/>
      <c r="B205" s="25" t="s">
        <v>761</v>
      </c>
      <c r="C205" s="34"/>
    </row>
    <row r="206" spans="1:3" ht="24">
      <c r="A206" s="125"/>
      <c r="B206" s="25" t="s">
        <v>762</v>
      </c>
      <c r="C206" s="34"/>
    </row>
    <row r="207" spans="1:3" ht="25.5" customHeight="1">
      <c r="A207" s="125"/>
      <c r="B207" s="25" t="s">
        <v>763</v>
      </c>
      <c r="C207" s="34"/>
    </row>
    <row r="208" spans="1:3" ht="24.75" customHeight="1">
      <c r="A208" s="125"/>
      <c r="B208" s="25" t="s">
        <v>26</v>
      </c>
      <c r="C208" s="34"/>
    </row>
    <row r="209" spans="1:3" ht="24">
      <c r="A209" s="126"/>
      <c r="B209" s="25" t="s">
        <v>764</v>
      </c>
      <c r="C209" s="34"/>
    </row>
    <row r="210" spans="1:3" ht="12.75">
      <c r="A210" s="128"/>
      <c r="B210" s="132" t="s">
        <v>185</v>
      </c>
      <c r="C210" s="45"/>
    </row>
    <row r="211" spans="1:3" ht="24">
      <c r="A211" s="125"/>
      <c r="B211" s="25" t="s">
        <v>770</v>
      </c>
      <c r="C211" s="34"/>
    </row>
    <row r="212" spans="1:3" ht="24">
      <c r="A212" s="125"/>
      <c r="B212" s="25" t="s">
        <v>766</v>
      </c>
      <c r="C212" s="34"/>
    </row>
    <row r="213" spans="1:3" ht="24">
      <c r="A213" s="125"/>
      <c r="B213" s="25" t="s">
        <v>767</v>
      </c>
      <c r="C213" s="34"/>
    </row>
    <row r="214" spans="1:3" ht="12.75">
      <c r="A214" s="125"/>
      <c r="B214" s="25" t="s">
        <v>768</v>
      </c>
      <c r="C214" s="34"/>
    </row>
    <row r="215" spans="1:3" ht="24">
      <c r="A215" s="126"/>
      <c r="B215" s="25" t="s">
        <v>769</v>
      </c>
      <c r="C215" s="34"/>
    </row>
    <row r="216" spans="2:3" ht="12.75">
      <c r="B216" s="3" t="s">
        <v>403</v>
      </c>
      <c r="C216" s="102" t="e">
        <f>(C12+C13)/(C71+'7. WUA'!C55)</f>
        <v>#DIV/0!</v>
      </c>
    </row>
    <row r="217" spans="1:3" ht="13.5" thickBot="1">
      <c r="A217" s="2"/>
      <c r="B217" s="57" t="s">
        <v>976</v>
      </c>
      <c r="C217" s="101" t="e">
        <f>IF(C216&lt;=9,0,IF(C216&lt;=19,1,IF(C216&lt;=29,2,IF(C216&lt;=49,3,4))))</f>
        <v>#DIV/0!</v>
      </c>
    </row>
    <row r="218" spans="1:3" ht="12.75">
      <c r="A218" s="2"/>
      <c r="B218" s="57"/>
      <c r="C218" s="34"/>
    </row>
    <row r="219" spans="1:3" ht="12.75">
      <c r="A219" s="136" t="s">
        <v>1019</v>
      </c>
      <c r="B219" s="57"/>
      <c r="C219" s="34"/>
    </row>
    <row r="220" spans="1:3" ht="12.75">
      <c r="A220" s="2"/>
      <c r="B220" s="57" t="s">
        <v>665</v>
      </c>
      <c r="C220" s="103">
        <f>'1. Input - Water Balance'!C22</f>
        <v>0</v>
      </c>
    </row>
    <row r="221" spans="1:4" ht="12.75">
      <c r="A221" s="2"/>
      <c r="B221" s="57" t="s">
        <v>359</v>
      </c>
      <c r="C221" s="35"/>
      <c r="D221" s="683"/>
    </row>
    <row r="222" spans="1:4" ht="12.75">
      <c r="A222" s="2"/>
      <c r="B222" s="57" t="s">
        <v>711</v>
      </c>
      <c r="C222" s="35"/>
      <c r="D222" s="683"/>
    </row>
    <row r="223" spans="1:4" ht="12.75">
      <c r="A223" s="2"/>
      <c r="B223" s="57" t="s">
        <v>404</v>
      </c>
      <c r="C223" s="35"/>
      <c r="D223" s="683"/>
    </row>
    <row r="224" spans="1:4" ht="12.75">
      <c r="A224" s="2"/>
      <c r="B224" s="57" t="s">
        <v>1139</v>
      </c>
      <c r="C224" s="35"/>
      <c r="D224" s="683"/>
    </row>
    <row r="225" spans="1:4" ht="12.75">
      <c r="A225" s="2"/>
      <c r="B225" s="57" t="s">
        <v>1140</v>
      </c>
      <c r="C225" s="35"/>
      <c r="D225" s="683"/>
    </row>
    <row r="226" spans="1:4" ht="12.75">
      <c r="A226" s="2"/>
      <c r="B226" s="57" t="s">
        <v>1141</v>
      </c>
      <c r="C226" s="35"/>
      <c r="D226" s="683"/>
    </row>
    <row r="227" spans="1:4" ht="12.75">
      <c r="A227" s="2"/>
      <c r="B227" s="57" t="s">
        <v>1142</v>
      </c>
      <c r="C227" s="35"/>
      <c r="D227" s="683"/>
    </row>
  </sheetData>
  <printOptions headings="1" horizontalCentered="1" verticalCentered="1"/>
  <pageMargins left="0.75" right="1" top="1" bottom="1" header="0.5" footer="0.5"/>
  <pageSetup fitToHeight="20" fitToWidth="1" horizontalDpi="300" verticalDpi="300" orientation="portrait" scale="81" r:id="rId1"/>
  <headerFooter alignWithMargins="0">
    <oddHeader>&amp;C&amp;F</oddHeader>
    <oddFooter>&amp;LFAO/ITRC/Cal Poly ITRC&amp;C&amp;A&amp;RPage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zoomScale="75" zoomScaleNormal="75" workbookViewId="0" topLeftCell="A1">
      <selection activeCell="D1" sqref="D1"/>
    </sheetView>
  </sheetViews>
  <sheetFormatPr defaultColWidth="9.140625" defaultRowHeight="12.75"/>
  <cols>
    <col min="1" max="1" width="1.7109375" style="18" customWidth="1"/>
    <col min="2" max="2" width="84.421875" style="3" customWidth="1"/>
    <col min="3" max="3" width="22.57421875" style="4" customWidth="1"/>
    <col min="4" max="16384" width="9.140625" style="5" customWidth="1"/>
  </cols>
  <sheetData>
    <row r="1" spans="1:3" s="10" customFormat="1" ht="23.25">
      <c r="A1" s="1">
        <f>'5. Project Office Questions'!A1</f>
        <v>0</v>
      </c>
      <c r="B1" s="8"/>
      <c r="C1" s="9"/>
    </row>
    <row r="2" spans="1:3" s="10" customFormat="1" ht="23.25">
      <c r="A2" s="1" t="str">
        <f>'5. Project Office Questions'!A2</f>
        <v>Project Name:</v>
      </c>
      <c r="B2" s="8"/>
      <c r="C2" s="9"/>
    </row>
    <row r="3" spans="1:3" s="10" customFormat="1" ht="23.25">
      <c r="A3" s="1"/>
      <c r="B3" s="646">
        <f>'5. Project Office Questions'!B3</f>
        <v>0</v>
      </c>
      <c r="C3" s="9"/>
    </row>
    <row r="4" spans="1:3" s="14" customFormat="1" ht="15.75">
      <c r="A4" s="11" t="str">
        <f>'5. Project Office Questions'!A4</f>
        <v>Date: </v>
      </c>
      <c r="B4" s="12"/>
      <c r="C4" s="13"/>
    </row>
    <row r="5" spans="1:3" s="14" customFormat="1" ht="15.75">
      <c r="A5" s="11"/>
      <c r="B5" s="645">
        <f>'5. Project Office Questions'!B5</f>
        <v>0</v>
      </c>
      <c r="C5" s="66"/>
    </row>
    <row r="6" spans="2:3" s="14" customFormat="1" ht="31.5">
      <c r="B6" s="12" t="s">
        <v>27</v>
      </c>
      <c r="C6" s="13"/>
    </row>
    <row r="7" spans="2:3" s="14" customFormat="1" ht="15.75">
      <c r="B7" s="12"/>
      <c r="C7" s="13"/>
    </row>
    <row r="8" spans="2:3" s="14" customFormat="1" ht="15.75">
      <c r="B8" s="12"/>
      <c r="C8" s="13"/>
    </row>
    <row r="9" spans="1:3" ht="12.75">
      <c r="A9" s="15" t="s">
        <v>357</v>
      </c>
      <c r="B9" s="20"/>
      <c r="C9" s="383"/>
    </row>
    <row r="10" spans="1:3" ht="24">
      <c r="A10" s="128"/>
      <c r="B10" s="56" t="s">
        <v>1025</v>
      </c>
      <c r="C10" s="35"/>
    </row>
    <row r="11" spans="1:3" ht="48">
      <c r="A11" s="125"/>
      <c r="B11" s="25" t="s">
        <v>358</v>
      </c>
      <c r="C11" s="34"/>
    </row>
    <row r="12" spans="1:3" ht="36">
      <c r="A12" s="125"/>
      <c r="B12" s="25" t="s">
        <v>1021</v>
      </c>
      <c r="C12" s="34"/>
    </row>
    <row r="13" spans="1:3" ht="36">
      <c r="A13" s="125"/>
      <c r="B13" s="25" t="s">
        <v>1022</v>
      </c>
      <c r="C13" s="34"/>
    </row>
    <row r="14" spans="1:3" ht="12.75">
      <c r="A14" s="125"/>
      <c r="B14" s="25" t="s">
        <v>1023</v>
      </c>
      <c r="C14" s="34"/>
    </row>
    <row r="15" spans="1:3" ht="13.5" thickBot="1">
      <c r="A15" s="385"/>
      <c r="B15" s="386" t="s">
        <v>1024</v>
      </c>
      <c r="C15" s="387"/>
    </row>
    <row r="16" spans="2:3" ht="12.75">
      <c r="B16" s="3" t="s">
        <v>1026</v>
      </c>
      <c r="C16" s="384"/>
    </row>
    <row r="17" spans="2:3" ht="36">
      <c r="B17" s="25" t="s">
        <v>1027</v>
      </c>
      <c r="C17" s="34"/>
    </row>
    <row r="18" spans="2:3" ht="24">
      <c r="B18" s="25" t="s">
        <v>1028</v>
      </c>
      <c r="C18" s="34"/>
    </row>
    <row r="19" spans="2:3" ht="24">
      <c r="B19" s="25" t="s">
        <v>160</v>
      </c>
      <c r="C19" s="34"/>
    </row>
    <row r="20" spans="2:3" ht="12.75">
      <c r="B20" s="25" t="s">
        <v>161</v>
      </c>
      <c r="C20" s="34"/>
    </row>
    <row r="21" spans="1:3" ht="13.5" thickBot="1">
      <c r="A21" s="389"/>
      <c r="B21" s="386" t="s">
        <v>162</v>
      </c>
      <c r="C21" s="387"/>
    </row>
    <row r="22" spans="1:3" ht="12.75">
      <c r="A22" s="388"/>
      <c r="B22" s="3" t="s">
        <v>163</v>
      </c>
      <c r="C22" s="384"/>
    </row>
    <row r="23" spans="2:3" ht="24">
      <c r="B23" s="25" t="s">
        <v>165</v>
      </c>
      <c r="C23" s="34"/>
    </row>
    <row r="24" spans="2:3" ht="24">
      <c r="B24" s="25" t="s">
        <v>164</v>
      </c>
      <c r="C24" s="34"/>
    </row>
    <row r="25" spans="2:3" ht="24">
      <c r="B25" s="25" t="s">
        <v>166</v>
      </c>
      <c r="C25" s="34"/>
    </row>
    <row r="26" spans="2:3" ht="24">
      <c r="B26" s="25" t="s">
        <v>990</v>
      </c>
      <c r="C26" s="34"/>
    </row>
    <row r="27" spans="1:3" ht="24.75" thickBot="1">
      <c r="A27" s="389"/>
      <c r="B27" s="386" t="s">
        <v>991</v>
      </c>
      <c r="C27" s="387"/>
    </row>
    <row r="28" spans="1:3" ht="12.75">
      <c r="A28" s="388"/>
      <c r="B28" s="3" t="s">
        <v>992</v>
      </c>
      <c r="C28" s="384"/>
    </row>
    <row r="29" spans="2:3" ht="24">
      <c r="B29" s="25" t="s">
        <v>28</v>
      </c>
      <c r="C29" s="34"/>
    </row>
    <row r="30" spans="2:3" ht="24">
      <c r="B30" s="25" t="s">
        <v>994</v>
      </c>
      <c r="C30" s="34"/>
    </row>
    <row r="31" spans="2:3" ht="36">
      <c r="B31" s="25" t="s">
        <v>995</v>
      </c>
      <c r="C31" s="34"/>
    </row>
    <row r="32" spans="2:3" ht="24">
      <c r="B32" s="25" t="s">
        <v>1029</v>
      </c>
      <c r="C32" s="34"/>
    </row>
    <row r="33" spans="1:3" ht="24.75" thickBot="1">
      <c r="A33" s="389"/>
      <c r="B33" s="386" t="s">
        <v>996</v>
      </c>
      <c r="C33" s="387"/>
    </row>
    <row r="34" spans="1:3" ht="12.75">
      <c r="A34" s="388"/>
      <c r="B34" s="3" t="s">
        <v>993</v>
      </c>
      <c r="C34" s="384"/>
    </row>
    <row r="35" spans="2:3" ht="36">
      <c r="B35" s="25" t="s">
        <v>997</v>
      </c>
      <c r="C35" s="34"/>
    </row>
    <row r="36" spans="2:3" ht="24">
      <c r="B36" s="25" t="s">
        <v>998</v>
      </c>
      <c r="C36" s="34"/>
    </row>
    <row r="37" spans="2:3" ht="24">
      <c r="B37" s="25" t="s">
        <v>999</v>
      </c>
      <c r="C37" s="34"/>
    </row>
    <row r="38" spans="2:3" ht="24">
      <c r="B38" s="25" t="s">
        <v>1000</v>
      </c>
      <c r="C38" s="34"/>
    </row>
    <row r="39" spans="1:3" ht="13.5" thickBot="1">
      <c r="A39" s="389"/>
      <c r="B39" s="386" t="s">
        <v>1001</v>
      </c>
      <c r="C39" s="387"/>
    </row>
    <row r="40" spans="1:3" ht="12.75">
      <c r="A40" s="390"/>
      <c r="B40" s="391" t="s">
        <v>1062</v>
      </c>
      <c r="C40" s="392" t="e">
        <f>'5. Project Office Questions'!C78/'5. Project Office Questions'!C79</f>
        <v>#DIV/0!</v>
      </c>
    </row>
    <row r="41" spans="2:3" ht="12.75">
      <c r="B41" s="58" t="s">
        <v>110</v>
      </c>
      <c r="C41" s="102" t="e">
        <f>IF(C40&lt;=1,0,IF(C40&lt;1.5,1,IF(C40&lt;2,2,IF(C40&lt;2.5,3,4))))</f>
        <v>#DIV/0!</v>
      </c>
    </row>
  </sheetData>
  <printOptions headings="1" horizontalCentered="1" verticalCentered="1"/>
  <pageMargins left="0.75" right="1" top="1" bottom="1" header="0.5" footer="0.5"/>
  <pageSetup fitToHeight="20" fitToWidth="1" horizontalDpi="300" verticalDpi="300" orientation="portrait" scale="78" r:id="rId1"/>
  <headerFooter alignWithMargins="0">
    <oddHeader>&amp;C&amp;F</oddHeader>
    <oddFooter>&amp;LFAO/WB/Cal Poly ITRC&amp;C&amp;A&amp;RPage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121"/>
  <sheetViews>
    <sheetView zoomScale="75" zoomScaleNormal="75" workbookViewId="0" topLeftCell="A1">
      <selection activeCell="D1" sqref="D1"/>
    </sheetView>
  </sheetViews>
  <sheetFormatPr defaultColWidth="9.140625" defaultRowHeight="12.75"/>
  <cols>
    <col min="1" max="1" width="1.7109375" style="18" customWidth="1"/>
    <col min="2" max="2" width="84.421875" style="3" customWidth="1"/>
    <col min="3" max="3" width="22.7109375" style="4" customWidth="1"/>
    <col min="4" max="16384" width="9.140625" style="5" customWidth="1"/>
  </cols>
  <sheetData>
    <row r="1" spans="1:3" s="10" customFormat="1" ht="23.25">
      <c r="A1" s="1">
        <f>'5. Project Office Questions'!A1</f>
        <v>0</v>
      </c>
      <c r="B1" s="8"/>
      <c r="C1" s="9"/>
    </row>
    <row r="2" spans="1:3" s="14" customFormat="1" ht="15.75">
      <c r="A2" s="11" t="str">
        <f>'5. Project Office Questions'!A2</f>
        <v>Project Name:</v>
      </c>
      <c r="B2" s="12"/>
      <c r="C2" s="13"/>
    </row>
    <row r="3" spans="1:3" s="14" customFormat="1" ht="15.75">
      <c r="A3" s="11"/>
      <c r="B3" s="647">
        <f>'5. Project Office Questions'!B3</f>
        <v>0</v>
      </c>
      <c r="C3" s="13"/>
    </row>
    <row r="4" spans="1:3" s="14" customFormat="1" ht="15.75">
      <c r="A4" s="11" t="str">
        <f>'5. Project Office Questions'!A4</f>
        <v>Date: </v>
      </c>
      <c r="B4" s="12"/>
      <c r="C4" s="13"/>
    </row>
    <row r="5" spans="1:3" s="14" customFormat="1" ht="15.75">
      <c r="A5" s="11"/>
      <c r="B5" s="648">
        <f>'5. Project Office Questions'!B5</f>
        <v>0</v>
      </c>
      <c r="C5" s="13"/>
    </row>
    <row r="6" spans="1:3" ht="12.75">
      <c r="A6" s="15" t="s">
        <v>455</v>
      </c>
      <c r="B6" s="19"/>
      <c r="C6" s="34"/>
    </row>
    <row r="7" spans="1:3" ht="12.75">
      <c r="A7" s="141"/>
      <c r="B7" s="127" t="s">
        <v>1037</v>
      </c>
      <c r="C7" s="34"/>
    </row>
    <row r="8" spans="1:3" ht="12.75">
      <c r="A8" s="142"/>
      <c r="B8" s="139" t="s">
        <v>456</v>
      </c>
      <c r="C8" s="78"/>
    </row>
    <row r="9" spans="1:3" ht="12.75">
      <c r="A9" s="142"/>
      <c r="B9" s="140" t="s">
        <v>341</v>
      </c>
      <c r="C9" s="78"/>
    </row>
    <row r="10" spans="1:3" ht="12.75">
      <c r="A10" s="142"/>
      <c r="B10" s="140" t="s">
        <v>342</v>
      </c>
      <c r="C10" s="78"/>
    </row>
    <row r="11" spans="1:3" ht="12.75">
      <c r="A11" s="142"/>
      <c r="B11" s="140" t="s">
        <v>457</v>
      </c>
      <c r="C11" s="78"/>
    </row>
    <row r="12" spans="1:3" ht="12.75">
      <c r="A12" s="142"/>
      <c r="B12" s="140" t="s">
        <v>458</v>
      </c>
      <c r="C12" s="78"/>
    </row>
    <row r="13" spans="1:3" ht="15.75" customHeight="1">
      <c r="A13" s="142"/>
      <c r="B13" s="140" t="s">
        <v>459</v>
      </c>
      <c r="C13" s="78"/>
    </row>
    <row r="14" spans="1:4" ht="15.75" customHeight="1">
      <c r="A14" s="143"/>
      <c r="B14" s="394" t="s">
        <v>1030</v>
      </c>
      <c r="C14" s="138">
        <f>SUM(C8:C13)</f>
        <v>0</v>
      </c>
      <c r="D14" s="5"/>
    </row>
    <row r="15" spans="1:4" ht="12.75">
      <c r="A15" s="2"/>
      <c r="B15" s="19" t="s">
        <v>460</v>
      </c>
      <c r="C15" s="35"/>
      <c r="D15" s="683"/>
    </row>
    <row r="16" spans="1:4" ht="12.75">
      <c r="A16" s="2"/>
      <c r="B16" s="19" t="s">
        <v>461</v>
      </c>
      <c r="C16" s="35"/>
      <c r="D16" s="683"/>
    </row>
    <row r="17" spans="1:3" ht="12.75">
      <c r="A17" s="128"/>
      <c r="B17" s="144" t="s">
        <v>1013</v>
      </c>
      <c r="C17" s="34"/>
    </row>
    <row r="18" spans="1:4" ht="12.75">
      <c r="A18" s="125"/>
      <c r="B18" s="20" t="s">
        <v>867</v>
      </c>
      <c r="C18" s="35"/>
      <c r="D18" s="683"/>
    </row>
    <row r="19" spans="1:4" ht="12.75">
      <c r="A19" s="125"/>
      <c r="B19" s="20" t="s">
        <v>577</v>
      </c>
      <c r="C19" s="35"/>
      <c r="D19" s="683"/>
    </row>
    <row r="20" spans="1:4" ht="12.75">
      <c r="A20" s="125"/>
      <c r="B20" s="20" t="s">
        <v>744</v>
      </c>
      <c r="C20" s="35"/>
      <c r="D20" s="683"/>
    </row>
    <row r="21" spans="1:4" ht="12.75">
      <c r="A21" s="125"/>
      <c r="B21" s="20" t="s">
        <v>578</v>
      </c>
      <c r="C21" s="35"/>
      <c r="D21" s="683"/>
    </row>
    <row r="22" spans="1:4" ht="12.75">
      <c r="A22" s="125"/>
      <c r="B22" s="20" t="s">
        <v>579</v>
      </c>
      <c r="C22" s="35"/>
      <c r="D22" s="683"/>
    </row>
    <row r="23" spans="1:4" ht="12.75">
      <c r="A23" s="125"/>
      <c r="B23" s="20" t="s">
        <v>580</v>
      </c>
      <c r="C23" s="35"/>
      <c r="D23" s="683"/>
    </row>
    <row r="24" spans="1:4" ht="12.75">
      <c r="A24" s="126"/>
      <c r="B24" s="20" t="s">
        <v>581</v>
      </c>
      <c r="C24" s="35"/>
      <c r="D24" s="683"/>
    </row>
    <row r="25" spans="1:3" ht="12.75">
      <c r="A25" s="2"/>
      <c r="B25" s="21" t="s">
        <v>291</v>
      </c>
      <c r="C25" s="35"/>
    </row>
    <row r="26" spans="1:3" ht="12.75">
      <c r="A26" s="2"/>
      <c r="B26" s="21" t="s">
        <v>1031</v>
      </c>
      <c r="C26" s="35"/>
    </row>
    <row r="27" spans="1:3" ht="12.75">
      <c r="A27" s="2"/>
      <c r="B27" s="21"/>
      <c r="C27" s="34"/>
    </row>
    <row r="28" spans="1:3" ht="12.75">
      <c r="A28" s="128"/>
      <c r="B28" s="144" t="s">
        <v>542</v>
      </c>
      <c r="C28" s="34"/>
    </row>
    <row r="29" spans="1:3" ht="12.75">
      <c r="A29" s="125"/>
      <c r="B29" s="20" t="s">
        <v>111</v>
      </c>
      <c r="C29" s="35"/>
    </row>
    <row r="30" spans="1:3" ht="12.75">
      <c r="A30" s="125"/>
      <c r="B30" s="20" t="s">
        <v>112</v>
      </c>
      <c r="C30" s="35"/>
    </row>
    <row r="31" spans="1:3" ht="12.75">
      <c r="A31" s="125"/>
      <c r="B31" s="20" t="s">
        <v>113</v>
      </c>
      <c r="C31" s="35"/>
    </row>
    <row r="32" spans="1:3" ht="12.75">
      <c r="A32" s="126"/>
      <c r="B32" s="20" t="s">
        <v>114</v>
      </c>
      <c r="C32" s="35"/>
    </row>
    <row r="33" spans="1:3" ht="12.75">
      <c r="A33" s="2"/>
      <c r="B33" s="20"/>
      <c r="C33" s="34"/>
    </row>
    <row r="34" spans="1:3" ht="12.75">
      <c r="A34" s="15" t="s">
        <v>442</v>
      </c>
      <c r="B34" s="20"/>
      <c r="C34" s="34"/>
    </row>
    <row r="35" spans="1:3" ht="25.5" customHeight="1">
      <c r="A35" s="15"/>
      <c r="B35" s="59" t="s">
        <v>47</v>
      </c>
      <c r="C35" s="34"/>
    </row>
    <row r="36" spans="1:3" ht="12.75">
      <c r="A36" s="128"/>
      <c r="B36" s="144" t="s">
        <v>128</v>
      </c>
      <c r="C36" s="34"/>
    </row>
    <row r="37" spans="1:4" ht="12.75">
      <c r="A37" s="125"/>
      <c r="B37" s="20" t="s">
        <v>440</v>
      </c>
      <c r="C37" s="393"/>
      <c r="D37" s="683"/>
    </row>
    <row r="38" spans="1:4" ht="12.75">
      <c r="A38" s="125"/>
      <c r="B38" s="20" t="s">
        <v>788</v>
      </c>
      <c r="C38" s="42"/>
      <c r="D38" s="683"/>
    </row>
    <row r="39" spans="1:4" ht="12.75">
      <c r="A39" s="125"/>
      <c r="B39" s="20" t="s">
        <v>123</v>
      </c>
      <c r="C39" s="42"/>
      <c r="D39" s="683"/>
    </row>
    <row r="40" spans="1:4" ht="12.75">
      <c r="A40" s="125"/>
      <c r="B40" s="20" t="s">
        <v>1152</v>
      </c>
      <c r="C40" s="42"/>
      <c r="D40" s="683"/>
    </row>
    <row r="41" spans="1:4" ht="12.75">
      <c r="A41" s="125"/>
      <c r="B41" s="20" t="s">
        <v>124</v>
      </c>
      <c r="C41" s="42"/>
      <c r="D41" s="683"/>
    </row>
    <row r="42" spans="1:4" ht="12.75">
      <c r="A42" s="125"/>
      <c r="B42" s="20" t="s">
        <v>49</v>
      </c>
      <c r="C42" s="42"/>
      <c r="D42" s="683"/>
    </row>
    <row r="43" spans="1:4" ht="12.75">
      <c r="A43" s="125"/>
      <c r="B43" s="20" t="s">
        <v>48</v>
      </c>
      <c r="C43" s="42"/>
      <c r="D43" s="683"/>
    </row>
    <row r="44" spans="1:3" ht="12.75">
      <c r="A44" s="126"/>
      <c r="B44" s="20" t="s">
        <v>906</v>
      </c>
      <c r="C44" s="145">
        <f>SUM(C38:C43)</f>
        <v>0</v>
      </c>
    </row>
    <row r="45" spans="1:3" ht="12.75">
      <c r="A45" s="128"/>
      <c r="B45" s="130" t="s">
        <v>115</v>
      </c>
      <c r="C45" s="34"/>
    </row>
    <row r="46" spans="1:4" ht="12.75">
      <c r="A46" s="125"/>
      <c r="B46" s="20" t="s">
        <v>1133</v>
      </c>
      <c r="C46" s="42"/>
      <c r="D46" s="683"/>
    </row>
    <row r="47" spans="1:4" ht="12.75">
      <c r="A47" s="125"/>
      <c r="B47" s="20" t="s">
        <v>569</v>
      </c>
      <c r="C47" s="42"/>
      <c r="D47" s="683"/>
    </row>
    <row r="48" spans="1:4" ht="12.75">
      <c r="A48" s="126"/>
      <c r="B48" s="20" t="s">
        <v>50</v>
      </c>
      <c r="C48" s="42"/>
      <c r="D48" s="683"/>
    </row>
    <row r="49" spans="1:3" ht="12.75">
      <c r="A49" s="126"/>
      <c r="B49" s="394" t="s">
        <v>1030</v>
      </c>
      <c r="C49" s="375">
        <f>SUM(C46:C48)</f>
        <v>0</v>
      </c>
    </row>
    <row r="50" spans="1:3" ht="12.75">
      <c r="A50" s="2"/>
      <c r="B50" s="22" t="s">
        <v>745</v>
      </c>
      <c r="C50" s="34"/>
    </row>
    <row r="51" spans="1:4" ht="12.75">
      <c r="A51" s="2"/>
      <c r="B51" s="21" t="s">
        <v>15</v>
      </c>
      <c r="C51" s="396"/>
      <c r="D51" s="683"/>
    </row>
    <row r="52" spans="1:4" ht="12.75">
      <c r="A52" s="2"/>
      <c r="B52" s="21" t="s">
        <v>14</v>
      </c>
      <c r="C52" s="396"/>
      <c r="D52" s="683"/>
    </row>
    <row r="53" spans="1:4" ht="12.75">
      <c r="A53" s="2"/>
      <c r="B53" s="21" t="s">
        <v>16</v>
      </c>
      <c r="C53" s="396"/>
      <c r="D53" s="683"/>
    </row>
    <row r="54" spans="1:4" ht="12.75">
      <c r="A54" s="2"/>
      <c r="B54" s="21" t="s">
        <v>17</v>
      </c>
      <c r="C54" s="395"/>
      <c r="D54" s="683"/>
    </row>
    <row r="55" spans="1:3" ht="13.5" thickBot="1">
      <c r="A55" s="419"/>
      <c r="B55" s="404" t="s">
        <v>18</v>
      </c>
      <c r="C55" s="422">
        <f>SUM(C51:C54)</f>
        <v>0</v>
      </c>
    </row>
    <row r="56" spans="1:4" ht="12.75">
      <c r="A56" s="126"/>
      <c r="B56" s="410" t="s">
        <v>746</v>
      </c>
      <c r="C56" s="408"/>
      <c r="D56" s="683"/>
    </row>
    <row r="57" spans="1:4" ht="12.75">
      <c r="A57" s="2"/>
      <c r="B57" s="21" t="s">
        <v>339</v>
      </c>
      <c r="C57" s="42"/>
      <c r="D57" s="683"/>
    </row>
    <row r="58" spans="1:3" ht="12.75">
      <c r="A58" s="2"/>
      <c r="B58" s="20"/>
      <c r="C58" s="34"/>
    </row>
    <row r="59" spans="1:3" ht="12.75">
      <c r="A59" s="128"/>
      <c r="B59" s="130" t="s">
        <v>907</v>
      </c>
      <c r="C59" s="34"/>
    </row>
    <row r="60" spans="1:4" ht="12.75">
      <c r="A60" s="125"/>
      <c r="B60" s="20" t="s">
        <v>1002</v>
      </c>
      <c r="C60" s="42"/>
      <c r="D60" s="683"/>
    </row>
    <row r="61" spans="1:4" ht="12.75">
      <c r="A61" s="125"/>
      <c r="B61" s="20" t="s">
        <v>1003</v>
      </c>
      <c r="C61" s="42"/>
      <c r="D61" s="683"/>
    </row>
    <row r="62" spans="1:4" ht="12.75">
      <c r="A62" s="125"/>
      <c r="B62" s="20" t="s">
        <v>116</v>
      </c>
      <c r="C62" s="42"/>
      <c r="D62" s="683"/>
    </row>
    <row r="63" spans="1:4" ht="13.5" thickBot="1">
      <c r="A63" s="385"/>
      <c r="B63" s="404" t="s">
        <v>1005</v>
      </c>
      <c r="C63" s="421"/>
      <c r="D63" s="683"/>
    </row>
    <row r="64" spans="1:3" ht="12.75">
      <c r="A64" s="134" t="s">
        <v>571</v>
      </c>
      <c r="B64" s="405"/>
      <c r="C64" s="402"/>
    </row>
    <row r="65" spans="1:3" ht="12.75">
      <c r="A65" s="128"/>
      <c r="B65" s="127" t="s">
        <v>908</v>
      </c>
      <c r="C65" s="45"/>
    </row>
    <row r="66" spans="1:3" ht="12.75">
      <c r="A66" s="129"/>
      <c r="B66" s="20" t="s">
        <v>910</v>
      </c>
      <c r="C66" s="34"/>
    </row>
    <row r="67" spans="1:3" ht="12.75">
      <c r="A67" s="129"/>
      <c r="B67" s="20" t="s">
        <v>909</v>
      </c>
      <c r="C67" s="34"/>
    </row>
    <row r="68" spans="1:3" ht="13.5" thickBot="1">
      <c r="A68" s="403"/>
      <c r="B68" s="404" t="s">
        <v>911</v>
      </c>
      <c r="C68" s="387"/>
    </row>
    <row r="69" spans="1:3" ht="12.75">
      <c r="A69" s="134"/>
      <c r="B69" s="405" t="s">
        <v>794</v>
      </c>
      <c r="C69" s="406"/>
    </row>
    <row r="70" spans="1:3" ht="12.75">
      <c r="A70" s="135"/>
      <c r="B70" s="127" t="s">
        <v>912</v>
      </c>
      <c r="C70" s="45"/>
    </row>
    <row r="71" spans="1:3" ht="12.75">
      <c r="A71" s="129"/>
      <c r="B71" s="20" t="s">
        <v>913</v>
      </c>
      <c r="C71" s="34"/>
    </row>
    <row r="72" spans="1:3" ht="12.75">
      <c r="A72" s="129"/>
      <c r="B72" s="20" t="s">
        <v>914</v>
      </c>
      <c r="C72" s="34"/>
    </row>
    <row r="73" spans="1:3" ht="13.5" thickBot="1">
      <c r="A73" s="403"/>
      <c r="B73" s="404" t="s">
        <v>915</v>
      </c>
      <c r="C73" s="387"/>
    </row>
    <row r="74" spans="1:3" ht="12.75">
      <c r="A74" s="162"/>
      <c r="B74" s="401" t="s">
        <v>118</v>
      </c>
      <c r="C74" s="402"/>
    </row>
    <row r="75" spans="1:3" ht="12.75">
      <c r="A75" s="129"/>
      <c r="B75" s="20" t="s">
        <v>119</v>
      </c>
      <c r="C75" s="35"/>
    </row>
    <row r="76" spans="1:3" ht="12.75">
      <c r="A76" s="129"/>
      <c r="B76" s="20" t="s">
        <v>120</v>
      </c>
      <c r="C76" s="35"/>
    </row>
    <row r="77" spans="1:3" ht="12.75">
      <c r="A77" s="129"/>
      <c r="B77" s="20" t="s">
        <v>916</v>
      </c>
      <c r="C77" s="35"/>
    </row>
    <row r="78" spans="1:3" ht="13.5" thickBot="1">
      <c r="A78" s="403"/>
      <c r="B78" s="404" t="s">
        <v>443</v>
      </c>
      <c r="C78" s="38"/>
    </row>
    <row r="79" spans="1:3" ht="12.75">
      <c r="A79" s="162"/>
      <c r="B79" s="407" t="s">
        <v>462</v>
      </c>
      <c r="C79" s="408"/>
    </row>
    <row r="80" spans="1:3" ht="12.75">
      <c r="A80" s="129"/>
      <c r="B80" s="20" t="s">
        <v>121</v>
      </c>
      <c r="C80" s="34"/>
    </row>
    <row r="81" spans="1:3" ht="13.5" thickBot="1">
      <c r="A81" s="403"/>
      <c r="B81" s="404" t="s">
        <v>122</v>
      </c>
      <c r="C81" s="387"/>
    </row>
    <row r="82" spans="1:3" ht="12.75">
      <c r="A82" s="134"/>
      <c r="B82" s="405" t="s">
        <v>1181</v>
      </c>
      <c r="C82" s="384"/>
    </row>
    <row r="83" spans="1:3" ht="12.75">
      <c r="A83" s="15"/>
      <c r="B83" s="20" t="s">
        <v>1012</v>
      </c>
      <c r="C83" s="35"/>
    </row>
    <row r="84" spans="1:3" ht="12.75">
      <c r="A84" s="15"/>
      <c r="B84" s="20" t="s">
        <v>444</v>
      </c>
      <c r="C84" s="35"/>
    </row>
    <row r="85" spans="1:3" ht="13.5" thickBot="1">
      <c r="A85" s="409"/>
      <c r="B85" s="404" t="s">
        <v>1065</v>
      </c>
      <c r="C85" s="38"/>
    </row>
    <row r="86" spans="1:4" ht="24" customHeight="1" thickBot="1">
      <c r="A86" s="415"/>
      <c r="B86" s="416" t="s">
        <v>917</v>
      </c>
      <c r="C86" s="417"/>
      <c r="D86" s="683"/>
    </row>
    <row r="87" spans="1:4" ht="24" customHeight="1">
      <c r="A87" s="162"/>
      <c r="B87" s="401" t="s">
        <v>872</v>
      </c>
      <c r="C87" s="402"/>
      <c r="D87" s="683"/>
    </row>
    <row r="88" spans="1:4" ht="12.75">
      <c r="A88" s="129"/>
      <c r="B88" s="20" t="s">
        <v>1182</v>
      </c>
      <c r="C88" s="42"/>
      <c r="D88" s="683"/>
    </row>
    <row r="89" spans="1:4" ht="12.75">
      <c r="A89" s="129"/>
      <c r="B89" s="20" t="s">
        <v>1183</v>
      </c>
      <c r="C89" s="35"/>
      <c r="D89" s="683"/>
    </row>
    <row r="90" spans="1:4" ht="12.75">
      <c r="A90" s="129"/>
      <c r="B90" s="20" t="s">
        <v>1184</v>
      </c>
      <c r="C90" s="42"/>
      <c r="D90" s="683"/>
    </row>
    <row r="91" spans="1:4" ht="12.75">
      <c r="A91" s="129"/>
      <c r="B91" s="411" t="s">
        <v>1185</v>
      </c>
      <c r="C91" s="412"/>
      <c r="D91" s="683"/>
    </row>
    <row r="92" spans="1:3" ht="13.5" thickBot="1">
      <c r="A92" s="403"/>
      <c r="B92" s="413" t="s">
        <v>871</v>
      </c>
      <c r="C92" s="721">
        <f>SUM(C88:C91)</f>
        <v>0</v>
      </c>
    </row>
    <row r="93" spans="1:3" ht="12.75">
      <c r="A93" s="129"/>
      <c r="B93" s="410" t="s">
        <v>1186</v>
      </c>
      <c r="C93" s="384"/>
    </row>
    <row r="94" spans="1:3" ht="12.75">
      <c r="A94" s="134"/>
      <c r="B94" s="21" t="s">
        <v>1036</v>
      </c>
      <c r="C94" s="35"/>
    </row>
    <row r="95" spans="1:3" ht="25.5" customHeight="1">
      <c r="A95" s="2"/>
      <c r="B95" s="147" t="s">
        <v>860</v>
      </c>
      <c r="C95" s="34"/>
    </row>
    <row r="96" spans="1:3" ht="12.75">
      <c r="A96" s="2"/>
      <c r="B96" s="57" t="s">
        <v>861</v>
      </c>
      <c r="C96" s="418">
        <f>C12+C13</f>
        <v>0</v>
      </c>
    </row>
    <row r="97" spans="1:3" ht="13.5" thickBot="1">
      <c r="A97" s="419"/>
      <c r="B97" s="420" t="s">
        <v>1187</v>
      </c>
      <c r="C97" s="414">
        <f>IF(C96&lt;40,0,IF(C96&lt;=60,1,IF(C96&lt;=75,2,IF(C96&lt;=90,3,IF(C96&lt;=100,4)))))</f>
        <v>0</v>
      </c>
    </row>
    <row r="98" spans="2:3" ht="24">
      <c r="B98" s="3" t="s">
        <v>91</v>
      </c>
      <c r="C98" s="384"/>
    </row>
    <row r="99" spans="2:3" ht="24">
      <c r="B99" s="25" t="s">
        <v>863</v>
      </c>
      <c r="C99" s="34"/>
    </row>
    <row r="100" spans="2:3" ht="24">
      <c r="B100" s="25" t="s">
        <v>862</v>
      </c>
      <c r="C100" s="34"/>
    </row>
    <row r="101" spans="2:3" ht="24">
      <c r="B101" s="25" t="s">
        <v>864</v>
      </c>
      <c r="C101" s="34"/>
    </row>
    <row r="102" spans="2:3" ht="24">
      <c r="B102" s="25" t="s">
        <v>865</v>
      </c>
      <c r="C102" s="34"/>
    </row>
    <row r="103" spans="1:3" ht="13.5" thickBot="1">
      <c r="A103" s="389"/>
      <c r="B103" s="386" t="s">
        <v>866</v>
      </c>
      <c r="C103" s="387"/>
    </row>
    <row r="104" spans="1:3" ht="24">
      <c r="A104" s="388"/>
      <c r="B104" s="3" t="s">
        <v>92</v>
      </c>
      <c r="C104" s="384"/>
    </row>
    <row r="105" spans="2:3" ht="24">
      <c r="B105" s="25" t="s">
        <v>93</v>
      </c>
      <c r="C105" s="34"/>
    </row>
    <row r="106" spans="2:3" ht="24.75" customHeight="1">
      <c r="B106" s="25" t="s">
        <v>94</v>
      </c>
      <c r="C106" s="34"/>
    </row>
    <row r="107" spans="2:3" ht="24">
      <c r="B107" s="25" t="s">
        <v>95</v>
      </c>
      <c r="C107" s="34"/>
    </row>
    <row r="108" spans="2:3" ht="24">
      <c r="B108" s="25" t="s">
        <v>96</v>
      </c>
      <c r="C108" s="34"/>
    </row>
    <row r="109" spans="1:3" ht="24.75" thickBot="1">
      <c r="A109" s="389"/>
      <c r="B109" s="386" t="s">
        <v>97</v>
      </c>
      <c r="C109" s="387"/>
    </row>
    <row r="110" spans="1:3" ht="12.75">
      <c r="A110" s="388"/>
      <c r="B110" s="3" t="s">
        <v>98</v>
      </c>
      <c r="C110" s="384"/>
    </row>
    <row r="111" spans="2:3" ht="36">
      <c r="B111" s="25" t="s">
        <v>99</v>
      </c>
      <c r="C111" s="34"/>
    </row>
    <row r="112" spans="2:3" ht="36">
      <c r="B112" s="25" t="s">
        <v>100</v>
      </c>
      <c r="C112" s="34"/>
    </row>
    <row r="113" spans="2:3" ht="36">
      <c r="B113" s="25" t="s">
        <v>783</v>
      </c>
      <c r="C113" s="34"/>
    </row>
    <row r="114" spans="2:3" ht="36">
      <c r="B114" s="25" t="s">
        <v>784</v>
      </c>
      <c r="C114" s="34"/>
    </row>
    <row r="115" spans="1:3" ht="13.5" thickBot="1">
      <c r="A115" s="389"/>
      <c r="B115" s="386" t="s">
        <v>785</v>
      </c>
      <c r="C115" s="387"/>
    </row>
    <row r="116" spans="1:3" ht="12.75">
      <c r="A116" s="388"/>
      <c r="B116" s="3" t="s">
        <v>742</v>
      </c>
      <c r="C116" s="384"/>
    </row>
    <row r="117" spans="2:3" ht="24">
      <c r="B117" s="25" t="s">
        <v>743</v>
      </c>
      <c r="C117" s="34"/>
    </row>
    <row r="118" spans="2:3" ht="24">
      <c r="B118" s="25" t="s">
        <v>486</v>
      </c>
      <c r="C118" s="34"/>
    </row>
    <row r="119" spans="2:3" ht="24">
      <c r="B119" s="25" t="s">
        <v>90</v>
      </c>
      <c r="C119" s="34"/>
    </row>
    <row r="120" spans="2:3" ht="24">
      <c r="B120" s="25" t="s">
        <v>1195</v>
      </c>
      <c r="C120" s="34"/>
    </row>
    <row r="121" spans="1:3" ht="36.75" thickBot="1">
      <c r="A121" s="389"/>
      <c r="B121" s="386" t="s">
        <v>356</v>
      </c>
      <c r="C121" s="387"/>
    </row>
  </sheetData>
  <printOptions headings="1" horizontalCentered="1" verticalCentered="1"/>
  <pageMargins left="0.75" right="1" top="1" bottom="1" header="0.5" footer="0.5"/>
  <pageSetup fitToHeight="20" fitToWidth="1" horizontalDpi="300" verticalDpi="300" orientation="portrait" scale="72" r:id="rId1"/>
  <headerFooter alignWithMargins="0">
    <oddHeader>&amp;C&amp;F</oddHeader>
    <oddFooter>&amp;LFAO/WB/Cal Poly ITRC&amp;C&amp;A&amp;RPage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259"/>
  <sheetViews>
    <sheetView workbookViewId="0" topLeftCell="A242">
      <selection activeCell="B268" sqref="B268"/>
    </sheetView>
  </sheetViews>
  <sheetFormatPr defaultColWidth="9.140625" defaultRowHeight="12.75"/>
  <cols>
    <col min="1" max="1" width="1.7109375" style="18" customWidth="1"/>
    <col min="2" max="2" width="84.421875" style="3" customWidth="1"/>
    <col min="3" max="3" width="23.8515625" style="4" customWidth="1"/>
    <col min="4" max="16384" width="9.140625" style="5" customWidth="1"/>
  </cols>
  <sheetData>
    <row r="1" spans="1:3" s="10" customFormat="1" ht="23.25">
      <c r="A1" s="1">
        <f>'5. Project Office Questions'!A1</f>
        <v>0</v>
      </c>
      <c r="B1" s="8"/>
      <c r="C1" s="9"/>
    </row>
    <row r="2" spans="1:3" s="10" customFormat="1" ht="23.25">
      <c r="A2" s="1" t="str">
        <f>'5. Project Office Questions'!A2</f>
        <v>Project Name:</v>
      </c>
      <c r="B2" s="8"/>
      <c r="C2" s="9"/>
    </row>
    <row r="3" spans="1:3" s="10" customFormat="1" ht="23.25">
      <c r="A3" s="1"/>
      <c r="B3" s="649">
        <f>'5. Project Office Questions'!B3</f>
        <v>0</v>
      </c>
      <c r="C3" s="9"/>
    </row>
    <row r="4" spans="1:3" s="14" customFormat="1" ht="16.5" customHeight="1">
      <c r="A4" s="11" t="str">
        <f>'5. Project Office Questions'!A4</f>
        <v>Date: </v>
      </c>
      <c r="B4" s="12"/>
      <c r="C4" s="13"/>
    </row>
    <row r="5" spans="1:3" s="14" customFormat="1" ht="15.75">
      <c r="A5" s="11"/>
      <c r="B5" s="648">
        <f>'5. Project Office Questions'!B5</f>
        <v>0</v>
      </c>
      <c r="C5" s="13"/>
    </row>
    <row r="6" spans="1:3" ht="12.75">
      <c r="A6" s="15" t="s">
        <v>1009</v>
      </c>
      <c r="B6" s="20"/>
      <c r="C6" s="34"/>
    </row>
    <row r="7" spans="1:3" ht="12.75">
      <c r="A7" s="2"/>
      <c r="B7" s="21" t="s">
        <v>1045</v>
      </c>
      <c r="C7" s="423"/>
    </row>
    <row r="8" spans="1:3" ht="24" customHeight="1">
      <c r="A8" s="2"/>
      <c r="B8" s="21" t="s">
        <v>918</v>
      </c>
      <c r="C8" s="45"/>
    </row>
    <row r="9" spans="1:3" ht="12.75">
      <c r="A9" s="2"/>
      <c r="B9" s="19" t="s">
        <v>335</v>
      </c>
      <c r="C9" s="41"/>
    </row>
    <row r="10" spans="1:3" ht="12.75">
      <c r="A10" s="2"/>
      <c r="B10" s="19" t="s">
        <v>334</v>
      </c>
      <c r="C10" s="41"/>
    </row>
    <row r="11" spans="1:3" ht="12.75">
      <c r="A11" s="2"/>
      <c r="B11" s="20"/>
      <c r="C11" s="34"/>
    </row>
    <row r="12" spans="1:3" ht="12.75">
      <c r="A12" s="2"/>
      <c r="B12" s="19" t="s">
        <v>1038</v>
      </c>
      <c r="C12" s="35"/>
    </row>
    <row r="13" spans="1:3" ht="12.75">
      <c r="A13" s="2"/>
      <c r="B13" s="19" t="s">
        <v>564</v>
      </c>
      <c r="C13" s="35"/>
    </row>
    <row r="14" spans="1:3" ht="12.75">
      <c r="A14" s="2"/>
      <c r="B14" s="20"/>
      <c r="C14" s="34"/>
    </row>
    <row r="15" spans="1:3" ht="12.75">
      <c r="A15" s="15" t="s">
        <v>586</v>
      </c>
      <c r="B15" s="22"/>
      <c r="C15" s="34"/>
    </row>
    <row r="16" spans="1:3" ht="12.75">
      <c r="A16" s="15"/>
      <c r="B16" s="29" t="s">
        <v>587</v>
      </c>
      <c r="C16" s="34"/>
    </row>
    <row r="17" spans="1:3" ht="12.75">
      <c r="A17" s="2"/>
      <c r="B17" s="21" t="s">
        <v>588</v>
      </c>
      <c r="C17" s="35"/>
    </row>
    <row r="18" spans="1:3" ht="12.75">
      <c r="A18" s="2"/>
      <c r="B18" s="21" t="s">
        <v>589</v>
      </c>
      <c r="C18" s="35"/>
    </row>
    <row r="19" spans="1:3" ht="12.75">
      <c r="A19" s="2"/>
      <c r="B19" s="21" t="s">
        <v>1189</v>
      </c>
      <c r="C19" s="35"/>
    </row>
    <row r="20" spans="1:3" ht="12.75">
      <c r="A20" s="2"/>
      <c r="B20" s="19"/>
      <c r="C20" s="34"/>
    </row>
    <row r="21" spans="1:3" ht="12.75">
      <c r="A21" s="15"/>
      <c r="B21" s="30" t="s">
        <v>590</v>
      </c>
      <c r="C21" s="34"/>
    </row>
    <row r="22" spans="1:3" ht="12.75">
      <c r="A22" s="15"/>
      <c r="B22" s="21" t="s">
        <v>591</v>
      </c>
      <c r="C22" s="35"/>
    </row>
    <row r="23" spans="1:3" ht="12.75">
      <c r="A23" s="15"/>
      <c r="B23" s="21" t="s">
        <v>592</v>
      </c>
      <c r="C23" s="35"/>
    </row>
    <row r="24" spans="1:3" ht="12.75">
      <c r="A24" s="15"/>
      <c r="B24" s="21" t="s">
        <v>1190</v>
      </c>
      <c r="C24" s="52"/>
    </row>
    <row r="25" spans="1:3" ht="12.75">
      <c r="A25" s="2"/>
      <c r="B25" s="21" t="s">
        <v>873</v>
      </c>
      <c r="C25" s="35"/>
    </row>
    <row r="26" spans="1:3" ht="12.75">
      <c r="A26" s="2"/>
      <c r="B26" s="21" t="s">
        <v>195</v>
      </c>
      <c r="C26" s="35"/>
    </row>
    <row r="27" spans="1:3" ht="12.75">
      <c r="A27" s="2"/>
      <c r="B27" s="21" t="s">
        <v>196</v>
      </c>
      <c r="C27" s="35"/>
    </row>
    <row r="28" spans="1:3" ht="12.75">
      <c r="A28" s="15"/>
      <c r="B28" s="21" t="s">
        <v>593</v>
      </c>
      <c r="C28" s="35"/>
    </row>
    <row r="29" spans="1:3" ht="24">
      <c r="A29" s="2"/>
      <c r="B29" s="21" t="s">
        <v>919</v>
      </c>
      <c r="C29" s="35"/>
    </row>
    <row r="30" spans="1:3" ht="12.75">
      <c r="A30" s="15"/>
      <c r="B30" s="21" t="s">
        <v>594</v>
      </c>
      <c r="C30" s="35"/>
    </row>
    <row r="31" spans="1:3" ht="12.75">
      <c r="A31" s="15"/>
      <c r="B31" s="21" t="s">
        <v>595</v>
      </c>
      <c r="C31" s="35"/>
    </row>
    <row r="32" spans="1:3" ht="12.75">
      <c r="A32" s="2"/>
      <c r="B32" s="21" t="s">
        <v>1064</v>
      </c>
      <c r="C32" s="35"/>
    </row>
    <row r="33" spans="1:3" ht="12.75">
      <c r="A33" s="2"/>
      <c r="B33" s="20" t="s">
        <v>1039</v>
      </c>
      <c r="C33" s="35"/>
    </row>
    <row r="34" spans="1:3" ht="12.75">
      <c r="A34" s="128"/>
      <c r="B34" s="132" t="s">
        <v>445</v>
      </c>
      <c r="C34" s="34"/>
    </row>
    <row r="35" spans="1:3" ht="12.75">
      <c r="A35" s="125"/>
      <c r="B35" s="20" t="s">
        <v>596</v>
      </c>
      <c r="C35" s="35"/>
    </row>
    <row r="36" spans="1:3" ht="12.75">
      <c r="A36" s="125"/>
      <c r="B36" s="20" t="s">
        <v>597</v>
      </c>
      <c r="C36" s="35"/>
    </row>
    <row r="37" spans="1:3" ht="12.75">
      <c r="A37" s="125"/>
      <c r="B37" s="20" t="s">
        <v>446</v>
      </c>
      <c r="C37" s="35"/>
    </row>
    <row r="38" spans="1:3" ht="12.75">
      <c r="A38" s="126"/>
      <c r="B38" s="20" t="s">
        <v>598</v>
      </c>
      <c r="C38" s="35"/>
    </row>
    <row r="39" spans="1:3" ht="13.5" thickBot="1">
      <c r="A39" s="445"/>
      <c r="B39" s="444" t="s">
        <v>925</v>
      </c>
      <c r="C39" s="414">
        <f>SUM(C35:C38)</f>
        <v>0</v>
      </c>
    </row>
    <row r="40" spans="1:3" ht="15.75" customHeight="1">
      <c r="A40" s="146"/>
      <c r="B40" s="407" t="s">
        <v>74</v>
      </c>
      <c r="C40" s="384"/>
    </row>
    <row r="41" spans="1:3" ht="12.75">
      <c r="A41" s="125"/>
      <c r="B41" s="25" t="s">
        <v>875</v>
      </c>
      <c r="C41" s="34"/>
    </row>
    <row r="42" spans="1:3" ht="12.75">
      <c r="A42" s="125"/>
      <c r="B42" s="25" t="s">
        <v>29</v>
      </c>
      <c r="C42" s="34"/>
    </row>
    <row r="43" spans="1:3" ht="24">
      <c r="A43" s="125"/>
      <c r="B43" s="25" t="s">
        <v>30</v>
      </c>
      <c r="C43" s="34"/>
    </row>
    <row r="44" spans="1:3" ht="12.75">
      <c r="A44" s="125"/>
      <c r="B44" s="25" t="s">
        <v>31</v>
      </c>
      <c r="C44" s="34"/>
    </row>
    <row r="45" spans="1:3" ht="13.5" thickBot="1">
      <c r="A45" s="385"/>
      <c r="B45" s="386" t="s">
        <v>712</v>
      </c>
      <c r="C45" s="387"/>
    </row>
    <row r="46" spans="1:3" ht="24.75" customHeight="1">
      <c r="A46" s="146"/>
      <c r="B46" s="407" t="s">
        <v>1077</v>
      </c>
      <c r="C46" s="384"/>
    </row>
    <row r="47" spans="1:3" ht="12.75">
      <c r="A47" s="125"/>
      <c r="B47" s="25" t="s">
        <v>713</v>
      </c>
      <c r="C47" s="34"/>
    </row>
    <row r="48" spans="1:3" ht="12.75">
      <c r="A48" s="125"/>
      <c r="B48" s="25" t="s">
        <v>715</v>
      </c>
      <c r="C48" s="34"/>
    </row>
    <row r="49" spans="1:3" ht="12.75">
      <c r="A49" s="125"/>
      <c r="B49" s="25" t="s">
        <v>714</v>
      </c>
      <c r="C49" s="34"/>
    </row>
    <row r="50" spans="1:3" ht="12.75">
      <c r="A50" s="125"/>
      <c r="B50" s="25" t="s">
        <v>854</v>
      </c>
      <c r="C50" s="34"/>
    </row>
    <row r="51" spans="1:3" ht="24.75" customHeight="1" thickBot="1">
      <c r="A51" s="385"/>
      <c r="B51" s="386" t="s">
        <v>855</v>
      </c>
      <c r="C51" s="387"/>
    </row>
    <row r="52" spans="1:3" s="28" customFormat="1" ht="12.75">
      <c r="A52" s="426"/>
      <c r="B52" s="407" t="s">
        <v>75</v>
      </c>
      <c r="C52" s="427"/>
    </row>
    <row r="53" spans="1:3" s="28" customFormat="1" ht="12.75">
      <c r="A53" s="148"/>
      <c r="B53" s="25" t="s">
        <v>857</v>
      </c>
      <c r="C53" s="53"/>
    </row>
    <row r="54" spans="1:3" s="28" customFormat="1" ht="24">
      <c r="A54" s="148"/>
      <c r="B54" s="25" t="s">
        <v>920</v>
      </c>
      <c r="C54" s="53"/>
    </row>
    <row r="55" spans="1:3" s="28" customFormat="1" ht="24">
      <c r="A55" s="148"/>
      <c r="B55" s="25" t="s">
        <v>856</v>
      </c>
      <c r="C55" s="53"/>
    </row>
    <row r="56" spans="1:3" s="28" customFormat="1" ht="24">
      <c r="A56" s="148"/>
      <c r="B56" s="25" t="s">
        <v>858</v>
      </c>
      <c r="C56" s="53"/>
    </row>
    <row r="57" spans="1:3" ht="25.5" customHeight="1">
      <c r="A57" s="126"/>
      <c r="B57" s="25" t="s">
        <v>80</v>
      </c>
      <c r="C57" s="34"/>
    </row>
    <row r="58" spans="1:3" ht="12.75">
      <c r="A58" s="2"/>
      <c r="B58" s="48"/>
      <c r="C58" s="34"/>
    </row>
    <row r="59" spans="1:3" ht="12.75">
      <c r="A59" s="15"/>
      <c r="B59" s="30" t="s">
        <v>293</v>
      </c>
      <c r="C59" s="34"/>
    </row>
    <row r="60" spans="1:3" ht="12.75">
      <c r="A60" s="15"/>
      <c r="B60" s="21" t="s">
        <v>1040</v>
      </c>
      <c r="C60" s="35"/>
    </row>
    <row r="61" spans="1:3" ht="39.75" customHeight="1">
      <c r="A61" s="15"/>
      <c r="B61" s="428" t="s">
        <v>81</v>
      </c>
      <c r="C61" s="429"/>
    </row>
    <row r="62" spans="1:3" ht="12.75">
      <c r="A62" s="15"/>
      <c r="B62" s="21" t="s">
        <v>82</v>
      </c>
      <c r="C62" s="35"/>
    </row>
    <row r="63" spans="1:3" ht="12.75">
      <c r="A63" s="2"/>
      <c r="B63" s="21" t="s">
        <v>1041</v>
      </c>
      <c r="C63" s="35"/>
    </row>
    <row r="64" spans="1:3" ht="12.75">
      <c r="A64" s="15"/>
      <c r="B64" s="21" t="s">
        <v>1042</v>
      </c>
      <c r="C64" s="35"/>
    </row>
    <row r="65" spans="1:3" ht="12.75">
      <c r="A65" s="15"/>
      <c r="B65" s="21" t="s">
        <v>599</v>
      </c>
      <c r="C65" s="35"/>
    </row>
    <row r="66" spans="1:3" ht="12.75">
      <c r="A66" s="15"/>
      <c r="B66" s="21" t="s">
        <v>600</v>
      </c>
      <c r="C66" s="35"/>
    </row>
    <row r="67" spans="1:3" ht="12.75">
      <c r="A67" s="17"/>
      <c r="B67" s="49" t="s">
        <v>848</v>
      </c>
      <c r="C67" s="35"/>
    </row>
    <row r="68" spans="1:3" ht="12.75">
      <c r="A68" s="15"/>
      <c r="B68" s="21" t="s">
        <v>879</v>
      </c>
      <c r="C68" s="35"/>
    </row>
    <row r="69" spans="1:3" ht="12.75">
      <c r="A69" s="15"/>
      <c r="B69" s="21" t="s">
        <v>721</v>
      </c>
      <c r="C69" s="35"/>
    </row>
    <row r="70" spans="1:3" ht="12.75">
      <c r="A70" s="15"/>
      <c r="B70" s="21" t="s">
        <v>878</v>
      </c>
      <c r="C70" s="35"/>
    </row>
    <row r="71" spans="1:3" ht="12.75">
      <c r="A71" s="15"/>
      <c r="B71" s="21" t="s">
        <v>722</v>
      </c>
      <c r="C71" s="35"/>
    </row>
    <row r="72" spans="1:3" ht="12.75">
      <c r="A72" s="15"/>
      <c r="B72" s="21" t="s">
        <v>748</v>
      </c>
      <c r="C72" s="35"/>
    </row>
    <row r="73" spans="1:3" ht="12.75">
      <c r="A73" s="15"/>
      <c r="B73" s="21" t="s">
        <v>876</v>
      </c>
      <c r="C73" s="35"/>
    </row>
    <row r="74" spans="1:3" ht="12" customHeight="1">
      <c r="A74" s="15"/>
      <c r="B74" s="21" t="s">
        <v>83</v>
      </c>
      <c r="C74" s="35"/>
    </row>
    <row r="75" spans="1:3" ht="12.75">
      <c r="A75" s="2"/>
      <c r="B75" s="21" t="s">
        <v>877</v>
      </c>
      <c r="C75" s="35"/>
    </row>
    <row r="76" spans="1:3" ht="12.75">
      <c r="A76" s="2"/>
      <c r="B76" s="21"/>
      <c r="C76" s="34"/>
    </row>
    <row r="77" spans="1:3" ht="12.75">
      <c r="A77" s="2"/>
      <c r="B77" s="29" t="s">
        <v>242</v>
      </c>
      <c r="C77" s="34"/>
    </row>
    <row r="78" spans="1:3" ht="36">
      <c r="A78" s="128"/>
      <c r="B78" s="132" t="s">
        <v>84</v>
      </c>
      <c r="C78" s="35"/>
    </row>
    <row r="79" spans="1:3" ht="36">
      <c r="A79" s="125"/>
      <c r="B79" s="25" t="s">
        <v>63</v>
      </c>
      <c r="C79" s="34"/>
    </row>
    <row r="80" spans="1:3" ht="24">
      <c r="A80" s="125"/>
      <c r="B80" s="25" t="s">
        <v>839</v>
      </c>
      <c r="C80" s="34"/>
    </row>
    <row r="81" spans="1:3" ht="24">
      <c r="A81" s="125"/>
      <c r="B81" s="25" t="s">
        <v>840</v>
      </c>
      <c r="C81" s="34"/>
    </row>
    <row r="82" spans="1:3" ht="24">
      <c r="A82" s="125"/>
      <c r="B82" s="25" t="s">
        <v>841</v>
      </c>
      <c r="C82" s="34"/>
    </row>
    <row r="83" spans="1:3" ht="24.75" thickBot="1">
      <c r="A83" s="385"/>
      <c r="B83" s="386" t="s">
        <v>842</v>
      </c>
      <c r="C83" s="387"/>
    </row>
    <row r="84" spans="1:3" ht="12.75">
      <c r="A84" s="146"/>
      <c r="B84" s="407" t="s">
        <v>1114</v>
      </c>
      <c r="C84" s="384"/>
    </row>
    <row r="85" spans="1:3" ht="24">
      <c r="A85" s="125"/>
      <c r="B85" s="25" t="s">
        <v>843</v>
      </c>
      <c r="C85" s="34"/>
    </row>
    <row r="86" spans="1:3" ht="24">
      <c r="A86" s="125"/>
      <c r="B86" s="25" t="s">
        <v>844</v>
      </c>
      <c r="C86" s="34"/>
    </row>
    <row r="87" spans="1:3" ht="24">
      <c r="A87" s="125"/>
      <c r="B87" s="25" t="s">
        <v>845</v>
      </c>
      <c r="C87" s="34"/>
    </row>
    <row r="88" spans="1:3" ht="24">
      <c r="A88" s="125"/>
      <c r="B88" s="25" t="s">
        <v>846</v>
      </c>
      <c r="C88" s="34"/>
    </row>
    <row r="89" spans="1:3" ht="24">
      <c r="A89" s="126"/>
      <c r="B89" s="25" t="s">
        <v>847</v>
      </c>
      <c r="C89" s="34"/>
    </row>
    <row r="90" spans="1:3" ht="59.25" customHeight="1">
      <c r="A90" s="2"/>
      <c r="B90" s="50" t="s">
        <v>850</v>
      </c>
      <c r="C90" s="103" t="e">
        <f>C67/C141*100</f>
        <v>#DIV/0!</v>
      </c>
    </row>
    <row r="91" spans="1:3" ht="12.75">
      <c r="A91" s="2"/>
      <c r="B91" s="26" t="s">
        <v>58</v>
      </c>
      <c r="C91" s="103" t="e">
        <f>IF(C90&gt;50,0,IF(C90&gt;=35,1,IF(C90&gt;=20,2,IF(C90&gt;=10,3,IF(C90&gt;0,4)))))</f>
        <v>#DIV/0!</v>
      </c>
    </row>
    <row r="92" spans="1:3" ht="12.75">
      <c r="A92" s="2"/>
      <c r="B92" s="26" t="s">
        <v>59</v>
      </c>
      <c r="C92" s="103" t="b">
        <f>IF(C29&gt;55,0,IF(C29&gt;=30,1,IF(C29&gt;=18,2,IF(C29&gt;=9,3,IF(C29&gt;0,4)))))</f>
        <v>0</v>
      </c>
    </row>
    <row r="93" spans="1:3" ht="12.75">
      <c r="A93" s="2"/>
      <c r="B93" s="21"/>
      <c r="C93" s="34"/>
    </row>
    <row r="94" spans="1:3" ht="12.75">
      <c r="A94" s="15"/>
      <c r="B94" s="29" t="s">
        <v>292</v>
      </c>
      <c r="C94" s="34"/>
    </row>
    <row r="95" spans="1:3" ht="12.75">
      <c r="A95" s="15"/>
      <c r="B95" s="21" t="s">
        <v>674</v>
      </c>
      <c r="C95" s="35"/>
    </row>
    <row r="96" spans="1:3" ht="12.75">
      <c r="A96" s="15"/>
      <c r="B96" s="21" t="s">
        <v>723</v>
      </c>
      <c r="C96" s="35"/>
    </row>
    <row r="97" spans="1:3" ht="41.25" customHeight="1">
      <c r="A97" s="15"/>
      <c r="B97" s="428" t="s">
        <v>244</v>
      </c>
      <c r="C97" s="35"/>
    </row>
    <row r="98" spans="1:3" ht="12.75">
      <c r="A98" s="15"/>
      <c r="B98" s="21" t="s">
        <v>1046</v>
      </c>
      <c r="C98" s="35"/>
    </row>
    <row r="99" spans="1:3" ht="12.75">
      <c r="A99" s="2"/>
      <c r="B99" s="21" t="s">
        <v>243</v>
      </c>
      <c r="C99" s="35"/>
    </row>
    <row r="100" spans="1:3" ht="12" customHeight="1">
      <c r="A100" s="2"/>
      <c r="B100" s="21" t="s">
        <v>56</v>
      </c>
      <c r="C100" s="35"/>
    </row>
    <row r="101" spans="1:3" ht="12.75">
      <c r="A101" s="2"/>
      <c r="B101" s="21" t="s">
        <v>675</v>
      </c>
      <c r="C101" s="35"/>
    </row>
    <row r="102" spans="1:3" ht="12.75">
      <c r="A102" s="2"/>
      <c r="B102" s="20" t="s">
        <v>676</v>
      </c>
      <c r="C102" s="35"/>
    </row>
    <row r="103" spans="1:3" ht="12.75">
      <c r="A103" s="2"/>
      <c r="B103" s="21" t="s">
        <v>1230</v>
      </c>
      <c r="C103" s="35"/>
    </row>
    <row r="104" spans="1:3" ht="12.75">
      <c r="A104" s="2"/>
      <c r="B104" s="20"/>
      <c r="C104" s="34"/>
    </row>
    <row r="105" spans="1:3" ht="12.75">
      <c r="A105" s="2"/>
      <c r="B105" s="30" t="s">
        <v>677</v>
      </c>
      <c r="C105" s="34"/>
    </row>
    <row r="106" spans="1:3" ht="12.75">
      <c r="A106" s="2"/>
      <c r="B106" s="21" t="s">
        <v>851</v>
      </c>
      <c r="C106" s="35"/>
    </row>
    <row r="107" spans="1:3" ht="12.75">
      <c r="A107" s="2"/>
      <c r="B107" s="26" t="s">
        <v>853</v>
      </c>
      <c r="C107" s="103" t="b">
        <f>IF(C106&gt;168,0,IF(C106&gt;=24,1,IF(C106&gt;=12,2,IF(C106&gt;=4,3,IF(C106&gt;0,4)))))</f>
        <v>0</v>
      </c>
    </row>
    <row r="108" spans="1:3" ht="12.75">
      <c r="A108" s="2"/>
      <c r="B108" s="21" t="s">
        <v>852</v>
      </c>
      <c r="C108" s="35"/>
    </row>
    <row r="109" spans="1:3" ht="12.75">
      <c r="A109" s="2"/>
      <c r="B109" s="26" t="s">
        <v>853</v>
      </c>
      <c r="C109" s="103" t="b">
        <f>IF(C108&gt;168,0,IF(C108&gt;=48,1,IF(C108&gt;=24,2,IF(C108&gt;=9,3,IF(C108&gt;0,4)))))</f>
        <v>0</v>
      </c>
    </row>
    <row r="110" spans="1:3" ht="12.75">
      <c r="A110" s="2"/>
      <c r="B110" s="21" t="s">
        <v>1</v>
      </c>
      <c r="C110" s="35">
        <v>3</v>
      </c>
    </row>
    <row r="111" spans="1:3" ht="13.5" thickBot="1">
      <c r="A111" s="419"/>
      <c r="B111" s="413" t="s">
        <v>0</v>
      </c>
      <c r="C111" s="414">
        <f>IF(C110&gt;31,0,IF(C110&gt;=15,1,IF(C110&gt;=7,2,IF(C110&gt;=2,3,IF(C110&gt;0,4)))))</f>
        <v>3</v>
      </c>
    </row>
    <row r="112" spans="1:3" ht="12.75">
      <c r="A112" s="146"/>
      <c r="B112" s="407" t="s">
        <v>1115</v>
      </c>
      <c r="C112" s="384"/>
    </row>
    <row r="113" spans="1:3" ht="12.75">
      <c r="A113" s="125"/>
      <c r="B113" s="25" t="s">
        <v>2</v>
      </c>
      <c r="C113" s="34"/>
    </row>
    <row r="114" spans="1:3" ht="12.75">
      <c r="A114" s="125"/>
      <c r="B114" s="25" t="s">
        <v>3</v>
      </c>
      <c r="C114" s="34"/>
    </row>
    <row r="115" spans="1:3" ht="24">
      <c r="A115" s="125"/>
      <c r="B115" s="25" t="s">
        <v>4</v>
      </c>
      <c r="C115" s="34"/>
    </row>
    <row r="116" spans="1:3" ht="24">
      <c r="A116" s="125"/>
      <c r="B116" s="25" t="s">
        <v>6</v>
      </c>
      <c r="C116" s="34"/>
    </row>
    <row r="117" spans="1:3" ht="24.75" thickBot="1">
      <c r="A117" s="385"/>
      <c r="B117" s="386" t="s">
        <v>5</v>
      </c>
      <c r="C117" s="387"/>
    </row>
    <row r="118" spans="1:3" ht="24">
      <c r="A118" s="146"/>
      <c r="B118" s="407" t="s">
        <v>1116</v>
      </c>
      <c r="C118" s="430"/>
    </row>
    <row r="119" spans="1:3" ht="12.75">
      <c r="A119" s="125"/>
      <c r="B119" s="25" t="s">
        <v>7</v>
      </c>
      <c r="C119" s="34"/>
    </row>
    <row r="120" spans="1:3" ht="24">
      <c r="A120" s="125"/>
      <c r="B120" s="25" t="s">
        <v>8</v>
      </c>
      <c r="C120" s="34"/>
    </row>
    <row r="121" spans="1:3" ht="24.75" customHeight="1">
      <c r="A121" s="125"/>
      <c r="B121" s="25" t="s">
        <v>9</v>
      </c>
      <c r="C121" s="34"/>
    </row>
    <row r="122" spans="1:3" ht="12.75">
      <c r="A122" s="125"/>
      <c r="B122" s="25" t="s">
        <v>10</v>
      </c>
      <c r="C122" s="34"/>
    </row>
    <row r="123" spans="1:3" ht="13.5" thickBot="1">
      <c r="A123" s="385"/>
      <c r="B123" s="386" t="s">
        <v>11</v>
      </c>
      <c r="C123" s="387"/>
    </row>
    <row r="124" spans="1:3" ht="12.75">
      <c r="A124" s="146"/>
      <c r="B124" s="407" t="s">
        <v>1117</v>
      </c>
      <c r="C124" s="430"/>
    </row>
    <row r="125" spans="1:3" ht="24">
      <c r="A125" s="125"/>
      <c r="B125" s="25" t="s">
        <v>12</v>
      </c>
      <c r="C125" s="34"/>
    </row>
    <row r="126" spans="1:3" ht="24">
      <c r="A126" s="125"/>
      <c r="B126" s="25" t="s">
        <v>13</v>
      </c>
      <c r="C126" s="34"/>
    </row>
    <row r="127" spans="1:3" ht="25.5" customHeight="1">
      <c r="A127" s="125"/>
      <c r="B127" s="25" t="s">
        <v>245</v>
      </c>
      <c r="C127" s="34"/>
    </row>
    <row r="128" spans="1:3" ht="24">
      <c r="A128" s="125"/>
      <c r="B128" s="25" t="s">
        <v>673</v>
      </c>
      <c r="C128" s="34"/>
    </row>
    <row r="129" spans="1:3" ht="24.75" thickBot="1">
      <c r="A129" s="385"/>
      <c r="B129" s="386" t="s">
        <v>874</v>
      </c>
      <c r="C129" s="387"/>
    </row>
    <row r="130" spans="1:3" ht="33" customHeight="1">
      <c r="A130" s="126"/>
      <c r="B130" s="431" t="s">
        <v>880</v>
      </c>
      <c r="C130" s="432"/>
    </row>
    <row r="131" spans="1:3" ht="12.75">
      <c r="A131" s="2"/>
      <c r="B131" s="21" t="s">
        <v>678</v>
      </c>
      <c r="C131" s="35"/>
    </row>
    <row r="132" spans="1:3" ht="12.75">
      <c r="A132" s="15"/>
      <c r="B132" s="21" t="s">
        <v>679</v>
      </c>
      <c r="C132" s="35"/>
    </row>
    <row r="133" spans="1:3" ht="24">
      <c r="A133" s="2"/>
      <c r="B133" s="21" t="s">
        <v>859</v>
      </c>
      <c r="C133" s="35"/>
    </row>
    <row r="134" spans="1:3" ht="12.75">
      <c r="A134" s="2"/>
      <c r="B134" s="26" t="s">
        <v>1118</v>
      </c>
      <c r="C134" s="100" t="b">
        <f>IF(C133&gt;=5,0,IF(C133&gt;3,1,IF(C133&gt;=2,2,IF(C133&gt;=1,3,IF(C133&gt;0,4)))))</f>
        <v>0</v>
      </c>
    </row>
    <row r="135" spans="1:3" ht="15" customHeight="1">
      <c r="A135" s="15"/>
      <c r="B135" s="21" t="s">
        <v>326</v>
      </c>
      <c r="C135" s="35"/>
    </row>
    <row r="136" spans="1:3" ht="12.75">
      <c r="A136" s="15"/>
      <c r="B136" s="21"/>
      <c r="C136" s="34"/>
    </row>
    <row r="137" spans="1:3" ht="12.75">
      <c r="A137" s="15"/>
      <c r="B137" s="30" t="s">
        <v>328</v>
      </c>
      <c r="C137" s="34"/>
    </row>
    <row r="138" spans="1:3" ht="12.75">
      <c r="A138" s="15"/>
      <c r="B138" s="21" t="s">
        <v>246</v>
      </c>
      <c r="C138" s="35"/>
    </row>
    <row r="139" spans="1:3" ht="12.75">
      <c r="A139" s="15"/>
      <c r="B139" s="21" t="s">
        <v>327</v>
      </c>
      <c r="C139" s="35"/>
    </row>
    <row r="140" spans="1:3" ht="12.75">
      <c r="A140" s="15"/>
      <c r="B140" s="21" t="s">
        <v>680</v>
      </c>
      <c r="C140" s="54"/>
    </row>
    <row r="141" spans="1:3" ht="12.75">
      <c r="A141" s="15"/>
      <c r="B141" s="21" t="s">
        <v>849</v>
      </c>
      <c r="C141" s="35"/>
    </row>
    <row r="142" spans="1:3" ht="12.75">
      <c r="A142" s="15"/>
      <c r="B142" s="21" t="s">
        <v>1043</v>
      </c>
      <c r="C142" s="35"/>
    </row>
    <row r="143" spans="1:3" ht="12.75">
      <c r="A143" s="15"/>
      <c r="B143" s="21" t="s">
        <v>1044</v>
      </c>
      <c r="C143" s="35"/>
    </row>
    <row r="144" spans="1:3" ht="13.5" customHeight="1">
      <c r="A144" s="15"/>
      <c r="B144" s="21" t="s">
        <v>247</v>
      </c>
      <c r="C144" s="35"/>
    </row>
    <row r="145" spans="1:3" ht="12.75">
      <c r="A145" s="15"/>
      <c r="B145" s="21" t="s">
        <v>329</v>
      </c>
      <c r="C145" s="35"/>
    </row>
    <row r="146" spans="1:3" ht="12.75">
      <c r="A146" s="15"/>
      <c r="B146" s="21" t="s">
        <v>330</v>
      </c>
      <c r="C146" s="35"/>
    </row>
    <row r="147" spans="1:3" ht="12.75">
      <c r="A147" s="15"/>
      <c r="B147" s="21" t="s">
        <v>331</v>
      </c>
      <c r="C147" s="35"/>
    </row>
    <row r="148" spans="1:3" ht="12.75">
      <c r="A148" s="15"/>
      <c r="B148" s="21" t="s">
        <v>928</v>
      </c>
      <c r="C148" s="35"/>
    </row>
    <row r="149" spans="1:3" ht="12.75">
      <c r="A149" s="15"/>
      <c r="B149" s="21" t="s">
        <v>929</v>
      </c>
      <c r="C149" s="35"/>
    </row>
    <row r="150" spans="1:3" ht="12.75">
      <c r="A150" s="15"/>
      <c r="B150" s="21"/>
      <c r="C150" s="34"/>
    </row>
    <row r="151" spans="1:3" ht="12.75">
      <c r="A151" s="15"/>
      <c r="B151" s="29" t="s">
        <v>681</v>
      </c>
      <c r="C151" s="34"/>
    </row>
    <row r="152" spans="1:3" ht="17.25" customHeight="1">
      <c r="A152" s="135"/>
      <c r="B152" s="132" t="s">
        <v>682</v>
      </c>
      <c r="C152" s="34"/>
    </row>
    <row r="153" spans="1:3" ht="12.75">
      <c r="A153" s="129"/>
      <c r="B153" s="20" t="s">
        <v>683</v>
      </c>
      <c r="C153" s="35"/>
    </row>
    <row r="154" spans="1:3" ht="12.75">
      <c r="A154" s="129"/>
      <c r="B154" s="20" t="s">
        <v>684</v>
      </c>
      <c r="C154" s="35"/>
    </row>
    <row r="155" spans="1:3" ht="12.75">
      <c r="A155" s="129"/>
      <c r="B155" s="20" t="s">
        <v>426</v>
      </c>
      <c r="C155" s="35"/>
    </row>
    <row r="156" spans="1:3" ht="12.75">
      <c r="A156" s="129"/>
      <c r="B156" s="20" t="s">
        <v>427</v>
      </c>
      <c r="C156" s="35"/>
    </row>
    <row r="157" spans="1:3" ht="12.75">
      <c r="A157" s="129"/>
      <c r="B157" s="20" t="s">
        <v>428</v>
      </c>
      <c r="C157" s="35"/>
    </row>
    <row r="158" spans="1:3" ht="12.75">
      <c r="A158" s="129"/>
      <c r="B158" s="411" t="s">
        <v>429</v>
      </c>
      <c r="C158" s="35"/>
    </row>
    <row r="159" spans="1:3" ht="13.5" thickBot="1">
      <c r="A159" s="445"/>
      <c r="B159" s="444" t="s">
        <v>925</v>
      </c>
      <c r="C159" s="414">
        <f>SUM(C153:C158)</f>
        <v>0</v>
      </c>
    </row>
    <row r="160" spans="1:3" ht="12.75">
      <c r="A160" s="162"/>
      <c r="B160" s="407" t="s">
        <v>430</v>
      </c>
      <c r="C160" s="402"/>
    </row>
    <row r="161" spans="1:3" ht="12.75">
      <c r="A161" s="129"/>
      <c r="B161" s="20" t="s">
        <v>683</v>
      </c>
      <c r="C161" s="35"/>
    </row>
    <row r="162" spans="1:3" ht="12.75">
      <c r="A162" s="129"/>
      <c r="B162" s="20" t="s">
        <v>684</v>
      </c>
      <c r="C162" s="35"/>
    </row>
    <row r="163" spans="1:3" ht="12.75">
      <c r="A163" s="129"/>
      <c r="B163" s="20" t="s">
        <v>426</v>
      </c>
      <c r="C163" s="35"/>
    </row>
    <row r="164" spans="1:3" ht="12.75">
      <c r="A164" s="129"/>
      <c r="B164" s="20" t="s">
        <v>427</v>
      </c>
      <c r="C164" s="35"/>
    </row>
    <row r="165" spans="1:3" ht="12.75">
      <c r="A165" s="129"/>
      <c r="B165" s="20" t="s">
        <v>428</v>
      </c>
      <c r="C165" s="35"/>
    </row>
    <row r="166" spans="1:3" ht="12.75">
      <c r="A166" s="134"/>
      <c r="B166" s="20" t="s">
        <v>429</v>
      </c>
      <c r="C166" s="35"/>
    </row>
    <row r="167" spans="1:3" ht="13.5" thickBot="1">
      <c r="A167" s="445"/>
      <c r="B167" s="444" t="s">
        <v>925</v>
      </c>
      <c r="C167" s="414">
        <f>SUM(C161:C166)</f>
        <v>0</v>
      </c>
    </row>
    <row r="168" spans="1:3" ht="12.75">
      <c r="A168" s="2"/>
      <c r="B168" s="29" t="s">
        <v>431</v>
      </c>
      <c r="C168" s="34"/>
    </row>
    <row r="169" spans="1:3" ht="12.75">
      <c r="A169" s="2"/>
      <c r="B169" s="21" t="s">
        <v>432</v>
      </c>
      <c r="C169" s="35"/>
    </row>
    <row r="170" spans="1:3" ht="12.75">
      <c r="A170" s="2"/>
      <c r="B170" s="21" t="s">
        <v>433</v>
      </c>
      <c r="C170" s="35"/>
    </row>
    <row r="171" spans="1:3" ht="12.75">
      <c r="A171" s="2"/>
      <c r="B171" s="21" t="s">
        <v>434</v>
      </c>
      <c r="C171" s="35"/>
    </row>
    <row r="172" spans="1:3" ht="12.75">
      <c r="A172" s="2"/>
      <c r="B172" s="21" t="s">
        <v>435</v>
      </c>
      <c r="C172" s="35"/>
    </row>
    <row r="173" spans="1:3" ht="12.75">
      <c r="A173" s="2"/>
      <c r="B173" s="21" t="s">
        <v>436</v>
      </c>
      <c r="C173" s="35"/>
    </row>
    <row r="174" spans="1:3" ht="12.75">
      <c r="A174" s="2"/>
      <c r="B174" s="21" t="s">
        <v>1063</v>
      </c>
      <c r="C174" s="35"/>
    </row>
    <row r="175" spans="1:3" ht="12.75">
      <c r="A175" s="2"/>
      <c r="B175" s="21"/>
      <c r="C175" s="34"/>
    </row>
    <row r="176" spans="1:3" ht="12.75">
      <c r="A176" s="15"/>
      <c r="B176" s="29" t="s">
        <v>249</v>
      </c>
      <c r="C176" s="34"/>
    </row>
    <row r="177" spans="1:3" ht="36">
      <c r="A177" s="135"/>
      <c r="B177" s="132" t="s">
        <v>250</v>
      </c>
      <c r="C177" s="35"/>
    </row>
    <row r="178" spans="1:3" ht="36">
      <c r="A178" s="129"/>
      <c r="B178" s="25" t="s">
        <v>64</v>
      </c>
      <c r="C178" s="34"/>
    </row>
    <row r="179" spans="1:3" ht="24">
      <c r="A179" s="129"/>
      <c r="B179" s="25" t="s">
        <v>65</v>
      </c>
      <c r="C179" s="34"/>
    </row>
    <row r="180" spans="1:3" ht="24">
      <c r="A180" s="129"/>
      <c r="B180" s="25" t="s">
        <v>66</v>
      </c>
      <c r="C180" s="34"/>
    </row>
    <row r="181" spans="1:3" ht="24">
      <c r="A181" s="129"/>
      <c r="B181" s="25" t="s">
        <v>67</v>
      </c>
      <c r="C181" s="34"/>
    </row>
    <row r="182" spans="1:3" ht="24.75" thickBot="1">
      <c r="A182" s="403"/>
      <c r="B182" s="386" t="s">
        <v>842</v>
      </c>
      <c r="C182" s="387"/>
    </row>
    <row r="183" spans="1:3" ht="12.75">
      <c r="A183" s="162"/>
      <c r="B183" s="407" t="s">
        <v>926</v>
      </c>
      <c r="C183" s="384"/>
    </row>
    <row r="184" spans="1:3" ht="24">
      <c r="A184" s="129"/>
      <c r="B184" s="25" t="s">
        <v>843</v>
      </c>
      <c r="C184" s="34"/>
    </row>
    <row r="185" spans="1:3" ht="24">
      <c r="A185" s="129"/>
      <c r="B185" s="25" t="s">
        <v>844</v>
      </c>
      <c r="C185" s="34"/>
    </row>
    <row r="186" spans="1:3" ht="24">
      <c r="A186" s="129"/>
      <c r="B186" s="25" t="s">
        <v>845</v>
      </c>
      <c r="C186" s="34"/>
    </row>
    <row r="187" spans="1:3" ht="24">
      <c r="A187" s="129"/>
      <c r="B187" s="25" t="s">
        <v>846</v>
      </c>
      <c r="C187" s="34"/>
    </row>
    <row r="188" spans="1:3" ht="24.75" thickBot="1">
      <c r="A188" s="403"/>
      <c r="B188" s="386" t="s">
        <v>847</v>
      </c>
      <c r="C188" s="387"/>
    </row>
    <row r="189" spans="1:3" ht="12.75">
      <c r="A189" s="162"/>
      <c r="B189" s="407" t="s">
        <v>927</v>
      </c>
      <c r="C189" s="384"/>
    </row>
    <row r="190" spans="1:3" ht="12.75">
      <c r="A190" s="129"/>
      <c r="B190" s="25" t="s">
        <v>60</v>
      </c>
      <c r="C190" s="34"/>
    </row>
    <row r="191" spans="1:3" ht="12.75">
      <c r="A191" s="129"/>
      <c r="B191" s="25" t="s">
        <v>61</v>
      </c>
      <c r="C191" s="34"/>
    </row>
    <row r="192" spans="1:3" ht="13.5" thickBot="1">
      <c r="A192" s="403"/>
      <c r="B192" s="386" t="s">
        <v>62</v>
      </c>
      <c r="C192" s="387"/>
    </row>
    <row r="193" spans="1:3" ht="12.75">
      <c r="A193" s="134"/>
      <c r="B193" s="410"/>
      <c r="C193" s="402"/>
    </row>
    <row r="194" spans="2:3" ht="12.75">
      <c r="B194" s="51" t="s">
        <v>248</v>
      </c>
      <c r="C194" s="34"/>
    </row>
    <row r="195" spans="1:3" ht="12.75">
      <c r="A195" s="135"/>
      <c r="B195" s="132" t="s">
        <v>1119</v>
      </c>
      <c r="C195" s="35"/>
    </row>
    <row r="196" spans="1:3" ht="12.75">
      <c r="A196" s="129"/>
      <c r="B196" s="25" t="s">
        <v>68</v>
      </c>
      <c r="C196" s="34"/>
    </row>
    <row r="197" spans="1:3" ht="12.75">
      <c r="A197" s="129"/>
      <c r="B197" s="25" t="s">
        <v>70</v>
      </c>
      <c r="C197" s="34"/>
    </row>
    <row r="198" spans="1:3" ht="13.5" thickBot="1">
      <c r="A198" s="403"/>
      <c r="B198" s="386" t="s">
        <v>69</v>
      </c>
      <c r="C198" s="387"/>
    </row>
    <row r="199" spans="1:3" ht="12.75">
      <c r="A199" s="162"/>
      <c r="B199" s="407" t="s">
        <v>1120</v>
      </c>
      <c r="C199" s="384"/>
    </row>
    <row r="200" spans="1:3" ht="12.75">
      <c r="A200" s="129"/>
      <c r="B200" s="25" t="s">
        <v>875</v>
      </c>
      <c r="C200" s="34"/>
    </row>
    <row r="201" spans="1:3" ht="12.75">
      <c r="A201" s="129"/>
      <c r="B201" s="25" t="s">
        <v>71</v>
      </c>
      <c r="C201" s="34"/>
    </row>
    <row r="202" spans="1:3" ht="13.5" thickBot="1">
      <c r="A202" s="403"/>
      <c r="B202" s="386" t="s">
        <v>213</v>
      </c>
      <c r="C202" s="387"/>
    </row>
    <row r="203" spans="1:3" ht="12.75">
      <c r="A203" s="162"/>
      <c r="B203" s="407" t="s">
        <v>1121</v>
      </c>
      <c r="C203" s="384"/>
    </row>
    <row r="204" spans="1:3" ht="12.75">
      <c r="A204" s="129"/>
      <c r="B204" s="25" t="s">
        <v>875</v>
      </c>
      <c r="C204" s="34"/>
    </row>
    <row r="205" spans="1:3" ht="12.75">
      <c r="A205" s="129"/>
      <c r="B205" s="25" t="s">
        <v>72</v>
      </c>
      <c r="C205" s="34"/>
    </row>
    <row r="206" spans="1:3" ht="13.5" thickBot="1">
      <c r="A206" s="403"/>
      <c r="B206" s="386" t="s">
        <v>167</v>
      </c>
      <c r="C206" s="387"/>
    </row>
    <row r="207" spans="1:3" ht="12.75">
      <c r="A207" s="162"/>
      <c r="B207" s="407" t="s">
        <v>1122</v>
      </c>
      <c r="C207" s="384"/>
    </row>
    <row r="208" spans="1:3" ht="12.75">
      <c r="A208" s="129"/>
      <c r="B208" s="25" t="s">
        <v>875</v>
      </c>
      <c r="C208" s="34"/>
    </row>
    <row r="209" spans="1:3" ht="12.75">
      <c r="A209" s="129"/>
      <c r="B209" s="25" t="s">
        <v>73</v>
      </c>
      <c r="C209" s="34"/>
    </row>
    <row r="210" spans="1:3" ht="13.5" thickBot="1">
      <c r="A210" s="403"/>
      <c r="B210" s="386" t="s">
        <v>212</v>
      </c>
      <c r="C210" s="387"/>
    </row>
    <row r="211" spans="1:3" ht="12.75">
      <c r="A211" s="134"/>
      <c r="B211" s="462" t="s">
        <v>1123</v>
      </c>
      <c r="C211" s="402"/>
    </row>
    <row r="212" spans="1:3" ht="36">
      <c r="A212" s="137"/>
      <c r="B212" s="132" t="s">
        <v>1129</v>
      </c>
      <c r="C212" s="35"/>
    </row>
    <row r="213" spans="2:3" ht="24">
      <c r="B213" s="25" t="s">
        <v>1124</v>
      </c>
      <c r="C213" s="34"/>
    </row>
    <row r="214" spans="2:3" ht="12.75">
      <c r="B214" s="25" t="s">
        <v>1125</v>
      </c>
      <c r="C214" s="34"/>
    </row>
    <row r="215" spans="2:3" ht="12.75">
      <c r="B215" s="25" t="s">
        <v>1126</v>
      </c>
      <c r="C215" s="34"/>
    </row>
    <row r="216" spans="1:3" ht="13.5" thickBot="1">
      <c r="A216" s="389"/>
      <c r="B216" s="386" t="s">
        <v>1127</v>
      </c>
      <c r="C216" s="387"/>
    </row>
    <row r="217" spans="1:3" ht="24">
      <c r="A217" s="388"/>
      <c r="B217" s="407" t="s">
        <v>1130</v>
      </c>
      <c r="C217" s="384"/>
    </row>
    <row r="218" spans="2:3" ht="24">
      <c r="B218" s="25" t="s">
        <v>1128</v>
      </c>
      <c r="C218" s="34"/>
    </row>
    <row r="219" spans="2:3" ht="24">
      <c r="B219" s="25" t="s">
        <v>1131</v>
      </c>
      <c r="C219" s="34"/>
    </row>
    <row r="220" spans="2:3" ht="24">
      <c r="B220" s="25" t="s">
        <v>372</v>
      </c>
      <c r="C220" s="34"/>
    </row>
    <row r="221" spans="1:3" ht="24.75" thickBot="1">
      <c r="A221" s="389"/>
      <c r="B221" s="386" t="s">
        <v>373</v>
      </c>
      <c r="C221" s="387"/>
    </row>
    <row r="222" spans="1:3" ht="12.75">
      <c r="A222" s="388"/>
      <c r="B222" s="407" t="s">
        <v>374</v>
      </c>
      <c r="C222" s="384"/>
    </row>
    <row r="223" spans="2:3" ht="12.75">
      <c r="B223" s="25" t="s">
        <v>375</v>
      </c>
      <c r="C223" s="34"/>
    </row>
    <row r="224" spans="2:3" ht="12.75">
      <c r="B224" s="25" t="s">
        <v>464</v>
      </c>
      <c r="C224" s="34"/>
    </row>
    <row r="225" spans="2:3" ht="12.75">
      <c r="B225" s="25" t="s">
        <v>465</v>
      </c>
      <c r="C225" s="34"/>
    </row>
    <row r="226" spans="1:3" ht="13.5" thickBot="1">
      <c r="A226" s="389"/>
      <c r="B226" s="386" t="s">
        <v>466</v>
      </c>
      <c r="C226" s="387"/>
    </row>
    <row r="227" spans="1:3" ht="24">
      <c r="A227" s="388"/>
      <c r="B227" s="407" t="s">
        <v>716</v>
      </c>
      <c r="C227" s="384"/>
    </row>
    <row r="228" spans="2:3" ht="12.75">
      <c r="B228" s="25" t="s">
        <v>467</v>
      </c>
      <c r="C228" s="34"/>
    </row>
    <row r="229" spans="2:3" ht="12.75">
      <c r="B229" s="25" t="s">
        <v>468</v>
      </c>
      <c r="C229" s="34"/>
    </row>
    <row r="230" spans="2:3" ht="12.75">
      <c r="B230" s="25" t="s">
        <v>717</v>
      </c>
      <c r="C230" s="34"/>
    </row>
    <row r="231" spans="1:3" ht="13.5" thickBot="1">
      <c r="A231" s="389"/>
      <c r="B231" s="386" t="s">
        <v>718</v>
      </c>
      <c r="C231" s="387"/>
    </row>
    <row r="232" spans="2:3" ht="12.75">
      <c r="B232" s="463"/>
      <c r="C232" s="402"/>
    </row>
    <row r="233" spans="2:3" ht="12.75">
      <c r="B233" s="40" t="s">
        <v>1300</v>
      </c>
      <c r="C233" s="34"/>
    </row>
    <row r="234" spans="1:3" ht="93" customHeight="1">
      <c r="A234" s="751" t="s">
        <v>1193</v>
      </c>
      <c r="B234" s="752"/>
      <c r="C234" s="753"/>
    </row>
    <row r="235" spans="1:3" ht="19.5">
      <c r="A235" s="24" t="s">
        <v>57</v>
      </c>
      <c r="C235" s="34"/>
    </row>
    <row r="236" spans="1:3" ht="12.75">
      <c r="A236" s="128"/>
      <c r="B236" s="132" t="s">
        <v>261</v>
      </c>
      <c r="C236" s="78"/>
    </row>
    <row r="237" spans="1:3" ht="24">
      <c r="A237" s="125"/>
      <c r="B237" s="25" t="s">
        <v>886</v>
      </c>
      <c r="C237" s="34"/>
    </row>
    <row r="238" spans="1:3" ht="24">
      <c r="A238" s="125"/>
      <c r="B238" s="25" t="s">
        <v>887</v>
      </c>
      <c r="C238" s="34"/>
    </row>
    <row r="239" spans="1:3" ht="12.75">
      <c r="A239" s="125"/>
      <c r="B239" s="25" t="s">
        <v>888</v>
      </c>
      <c r="C239" s="34"/>
    </row>
    <row r="240" spans="1:3" ht="12.75">
      <c r="A240" s="125"/>
      <c r="B240" s="25" t="s">
        <v>889</v>
      </c>
      <c r="C240" s="34"/>
    </row>
    <row r="241" spans="1:3" ht="24.75" thickBot="1">
      <c r="A241" s="385"/>
      <c r="B241" s="386" t="s">
        <v>1336</v>
      </c>
      <c r="C241" s="387"/>
    </row>
    <row r="242" spans="1:3" ht="12.75">
      <c r="A242" s="146"/>
      <c r="B242" s="407" t="s">
        <v>260</v>
      </c>
      <c r="C242" s="464"/>
    </row>
    <row r="243" spans="1:3" ht="24">
      <c r="A243" s="125"/>
      <c r="B243" s="25" t="s">
        <v>251</v>
      </c>
      <c r="C243" s="34"/>
    </row>
    <row r="244" spans="1:3" ht="24">
      <c r="A244" s="125"/>
      <c r="B244" s="25" t="s">
        <v>252</v>
      </c>
      <c r="C244" s="34"/>
    </row>
    <row r="245" spans="1:3" ht="24">
      <c r="A245" s="125"/>
      <c r="B245" s="25" t="s">
        <v>1337</v>
      </c>
      <c r="C245" s="34"/>
    </row>
    <row r="246" spans="1:3" ht="24">
      <c r="A246" s="125"/>
      <c r="B246" s="25" t="s">
        <v>258</v>
      </c>
      <c r="C246" s="34"/>
    </row>
    <row r="247" spans="1:3" ht="24.75" thickBot="1">
      <c r="A247" s="385"/>
      <c r="B247" s="386" t="s">
        <v>259</v>
      </c>
      <c r="C247" s="387"/>
    </row>
    <row r="248" spans="1:3" ht="12.75">
      <c r="A248" s="146"/>
      <c r="B248" s="407" t="s">
        <v>262</v>
      </c>
      <c r="C248" s="464"/>
    </row>
    <row r="249" spans="1:3" ht="12.75">
      <c r="A249" s="125"/>
      <c r="B249" s="25" t="s">
        <v>263</v>
      </c>
      <c r="C249" s="34"/>
    </row>
    <row r="250" spans="1:3" ht="12.75">
      <c r="A250" s="125"/>
      <c r="B250" s="25" t="s">
        <v>265</v>
      </c>
      <c r="C250" s="34"/>
    </row>
    <row r="251" spans="1:3" ht="12.75">
      <c r="A251" s="125"/>
      <c r="B251" s="25" t="s">
        <v>264</v>
      </c>
      <c r="C251" s="34"/>
    </row>
    <row r="252" spans="1:3" ht="12.75">
      <c r="A252" s="125"/>
      <c r="B252" s="25" t="s">
        <v>266</v>
      </c>
      <c r="C252" s="34"/>
    </row>
    <row r="253" spans="1:3" ht="13.5" thickBot="1">
      <c r="A253" s="385"/>
      <c r="B253" s="386" t="s">
        <v>267</v>
      </c>
      <c r="C253" s="387"/>
    </row>
    <row r="254" spans="1:3" ht="12.75">
      <c r="A254" s="146"/>
      <c r="B254" s="407" t="s">
        <v>253</v>
      </c>
      <c r="C254" s="464"/>
    </row>
    <row r="255" spans="1:3" ht="12.75">
      <c r="A255" s="125"/>
      <c r="B255" s="25" t="s">
        <v>268</v>
      </c>
      <c r="C255" s="34"/>
    </row>
    <row r="256" spans="1:3" ht="12.75">
      <c r="A256" s="125"/>
      <c r="B256" s="25" t="s">
        <v>269</v>
      </c>
      <c r="C256" s="34"/>
    </row>
    <row r="257" spans="1:3" ht="12.75">
      <c r="A257" s="125"/>
      <c r="B257" s="25" t="s">
        <v>270</v>
      </c>
      <c r="C257" s="34"/>
    </row>
    <row r="258" spans="1:3" ht="12.75">
      <c r="A258" s="125"/>
      <c r="B258" s="469" t="s">
        <v>271</v>
      </c>
      <c r="C258" s="34"/>
    </row>
    <row r="259" spans="1:3" ht="13.5" thickBot="1">
      <c r="A259" s="465"/>
      <c r="B259" s="470" t="s">
        <v>1090</v>
      </c>
      <c r="C259" s="466"/>
    </row>
  </sheetData>
  <mergeCells count="1">
    <mergeCell ref="A234:C234"/>
  </mergeCells>
  <printOptions headings="1" horizontalCentered="1" verticalCentered="1"/>
  <pageMargins left="0.75" right="0.75" top="1" bottom="1" header="0.5" footer="0.5"/>
  <pageSetup fitToHeight="20" fitToWidth="1" horizontalDpi="300" verticalDpi="300" orientation="portrait" scale="80" r:id="rId1"/>
  <headerFooter alignWithMargins="0">
    <oddHeader>&amp;C&amp;F</oddHeader>
    <oddFooter>&amp;LFAO/WB/Cal Poly ITRC&amp;C&amp;A&amp;RPage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250"/>
  <sheetViews>
    <sheetView zoomScale="75" zoomScaleNormal="75" workbookViewId="0" topLeftCell="A226">
      <selection activeCell="B254" sqref="B254"/>
    </sheetView>
  </sheetViews>
  <sheetFormatPr defaultColWidth="9.140625" defaultRowHeight="12.75"/>
  <cols>
    <col min="1" max="1" width="1.7109375" style="18" customWidth="1"/>
    <col min="2" max="2" width="84.421875" style="3" customWidth="1"/>
    <col min="3" max="3" width="23.8515625" style="4" customWidth="1"/>
    <col min="4" max="16384" width="9.140625" style="5" customWidth="1"/>
  </cols>
  <sheetData>
    <row r="1" spans="1:3" s="10" customFormat="1" ht="23.25">
      <c r="A1" s="1">
        <f>'5. Project Office Questions'!A1</f>
        <v>0</v>
      </c>
      <c r="B1" s="8"/>
      <c r="C1" s="9"/>
    </row>
    <row r="2" spans="1:3" s="10" customFormat="1" ht="23.25">
      <c r="A2" s="1" t="str">
        <f>'5. Project Office Questions'!A2</f>
        <v>Project Name:</v>
      </c>
      <c r="B2" s="8"/>
      <c r="C2" s="9"/>
    </row>
    <row r="3" spans="1:3" s="10" customFormat="1" ht="23.25">
      <c r="A3" s="1"/>
      <c r="B3" s="649">
        <f>'5. Project Office Questions'!B3</f>
        <v>0</v>
      </c>
      <c r="C3" s="9"/>
    </row>
    <row r="4" spans="1:3" s="14" customFormat="1" ht="16.5" customHeight="1">
      <c r="A4" s="11" t="str">
        <f>'5. Project Office Questions'!A4</f>
        <v>Date: </v>
      </c>
      <c r="B4" s="12"/>
      <c r="C4" s="13"/>
    </row>
    <row r="5" spans="1:3" s="14" customFormat="1" ht="15.75">
      <c r="A5" s="11"/>
      <c r="B5" s="648">
        <f>'5. Project Office Questions'!B5</f>
        <v>0</v>
      </c>
      <c r="C5" s="13"/>
    </row>
    <row r="6" spans="1:3" ht="12.75">
      <c r="A6" s="15" t="s">
        <v>1091</v>
      </c>
      <c r="B6" s="22"/>
      <c r="C6" s="34"/>
    </row>
    <row r="7" spans="1:3" ht="12.75">
      <c r="A7" s="15"/>
      <c r="B7" s="29" t="s">
        <v>1092</v>
      </c>
      <c r="C7" s="34"/>
    </row>
    <row r="8" spans="1:3" ht="12.75">
      <c r="A8" s="2"/>
      <c r="B8" s="21" t="s">
        <v>588</v>
      </c>
      <c r="C8" s="35"/>
    </row>
    <row r="9" spans="1:3" ht="12.75">
      <c r="A9" s="2"/>
      <c r="B9" s="21" t="s">
        <v>589</v>
      </c>
      <c r="C9" s="35"/>
    </row>
    <row r="10" spans="1:3" ht="12.75">
      <c r="A10" s="2"/>
      <c r="B10" s="21" t="s">
        <v>1189</v>
      </c>
      <c r="C10" s="35"/>
    </row>
    <row r="11" spans="1:3" ht="12.75">
      <c r="A11" s="2"/>
      <c r="B11" s="19"/>
      <c r="C11" s="34"/>
    </row>
    <row r="12" spans="1:3" ht="12.75">
      <c r="A12" s="15"/>
      <c r="B12" s="30" t="s">
        <v>1093</v>
      </c>
      <c r="C12" s="34"/>
    </row>
    <row r="13" spans="1:3" ht="12.75">
      <c r="A13" s="15"/>
      <c r="B13" s="21" t="s">
        <v>1094</v>
      </c>
      <c r="C13" s="35"/>
    </row>
    <row r="14" spans="1:3" ht="12.75">
      <c r="A14" s="15"/>
      <c r="B14" s="21" t="s">
        <v>1095</v>
      </c>
      <c r="C14" s="35"/>
    </row>
    <row r="15" spans="1:3" ht="12.75">
      <c r="A15" s="15"/>
      <c r="B15" s="21" t="s">
        <v>1190</v>
      </c>
      <c r="C15" s="52"/>
    </row>
    <row r="16" spans="1:3" ht="12.75">
      <c r="A16" s="2"/>
      <c r="B16" s="21" t="s">
        <v>873</v>
      </c>
      <c r="C16" s="35"/>
    </row>
    <row r="17" spans="1:3" ht="12.75">
      <c r="A17" s="2"/>
      <c r="B17" s="21" t="s">
        <v>195</v>
      </c>
      <c r="C17" s="35"/>
    </row>
    <row r="18" spans="1:3" ht="12.75">
      <c r="A18" s="2"/>
      <c r="B18" s="21" t="s">
        <v>1096</v>
      </c>
      <c r="C18" s="35"/>
    </row>
    <row r="19" spans="1:3" ht="12.75">
      <c r="A19" s="15"/>
      <c r="B19" s="21" t="s">
        <v>593</v>
      </c>
      <c r="C19" s="35"/>
    </row>
    <row r="20" spans="1:3" ht="24">
      <c r="A20" s="2"/>
      <c r="B20" s="21" t="s">
        <v>919</v>
      </c>
      <c r="C20" s="35"/>
    </row>
    <row r="21" spans="1:3" ht="12.75">
      <c r="A21" s="15"/>
      <c r="B21" s="21" t="s">
        <v>594</v>
      </c>
      <c r="C21" s="35"/>
    </row>
    <row r="22" spans="1:3" ht="12.75">
      <c r="A22" s="15"/>
      <c r="B22" s="21" t="s">
        <v>595</v>
      </c>
      <c r="C22" s="35"/>
    </row>
    <row r="23" spans="1:3" ht="12.75">
      <c r="A23" s="2"/>
      <c r="B23" s="21" t="s">
        <v>1064</v>
      </c>
      <c r="C23" s="35"/>
    </row>
    <row r="24" spans="1:3" ht="12.75">
      <c r="A24" s="2"/>
      <c r="B24" s="20" t="s">
        <v>1039</v>
      </c>
      <c r="C24" s="35"/>
    </row>
    <row r="25" spans="1:3" ht="12.75">
      <c r="A25" s="128"/>
      <c r="B25" s="132" t="s">
        <v>1097</v>
      </c>
      <c r="C25" s="34"/>
    </row>
    <row r="26" spans="1:3" ht="12.75">
      <c r="A26" s="125"/>
      <c r="B26" s="20" t="s">
        <v>596</v>
      </c>
      <c r="C26" s="35"/>
    </row>
    <row r="27" spans="1:3" ht="12.75">
      <c r="A27" s="125"/>
      <c r="B27" s="20" t="s">
        <v>597</v>
      </c>
      <c r="C27" s="35"/>
    </row>
    <row r="28" spans="1:3" ht="12.75">
      <c r="A28" s="125"/>
      <c r="B28" s="20" t="s">
        <v>446</v>
      </c>
      <c r="C28" s="35"/>
    </row>
    <row r="29" spans="1:3" ht="12.75">
      <c r="A29" s="126"/>
      <c r="B29" s="20" t="s">
        <v>598</v>
      </c>
      <c r="C29" s="35"/>
    </row>
    <row r="30" spans="1:3" ht="13.5" thickBot="1">
      <c r="A30" s="445"/>
      <c r="B30" s="444" t="s">
        <v>925</v>
      </c>
      <c r="C30" s="414">
        <f>SUM(C26:C29)</f>
        <v>0</v>
      </c>
    </row>
    <row r="31" spans="1:3" ht="15.75" customHeight="1">
      <c r="A31" s="146"/>
      <c r="B31" s="407" t="s">
        <v>74</v>
      </c>
      <c r="C31" s="384"/>
    </row>
    <row r="32" spans="1:3" ht="12.75">
      <c r="A32" s="125"/>
      <c r="B32" s="25" t="s">
        <v>875</v>
      </c>
      <c r="C32" s="34"/>
    </row>
    <row r="33" spans="1:3" ht="12.75">
      <c r="A33" s="125"/>
      <c r="B33" s="25" t="s">
        <v>29</v>
      </c>
      <c r="C33" s="34"/>
    </row>
    <row r="34" spans="1:3" ht="24">
      <c r="A34" s="125"/>
      <c r="B34" s="25" t="s">
        <v>30</v>
      </c>
      <c r="C34" s="34"/>
    </row>
    <row r="35" spans="1:3" ht="12.75">
      <c r="A35" s="125"/>
      <c r="B35" s="25" t="s">
        <v>31</v>
      </c>
      <c r="C35" s="34"/>
    </row>
    <row r="36" spans="1:3" ht="13.5" thickBot="1">
      <c r="A36" s="385"/>
      <c r="B36" s="386" t="s">
        <v>712</v>
      </c>
      <c r="C36" s="387"/>
    </row>
    <row r="37" spans="1:3" ht="24.75" customHeight="1">
      <c r="A37" s="146"/>
      <c r="B37" s="407" t="s">
        <v>1077</v>
      </c>
      <c r="C37" s="384"/>
    </row>
    <row r="38" spans="1:3" ht="12.75">
      <c r="A38" s="125"/>
      <c r="B38" s="25" t="s">
        <v>713</v>
      </c>
      <c r="C38" s="34"/>
    </row>
    <row r="39" spans="1:3" ht="12.75">
      <c r="A39" s="125"/>
      <c r="B39" s="25" t="s">
        <v>715</v>
      </c>
      <c r="C39" s="34"/>
    </row>
    <row r="40" spans="1:3" ht="12.75">
      <c r="A40" s="125"/>
      <c r="B40" s="25" t="s">
        <v>714</v>
      </c>
      <c r="C40" s="34"/>
    </row>
    <row r="41" spans="1:3" ht="12.75">
      <c r="A41" s="125"/>
      <c r="B41" s="25" t="s">
        <v>854</v>
      </c>
      <c r="C41" s="34"/>
    </row>
    <row r="42" spans="1:3" ht="24.75" customHeight="1" thickBot="1">
      <c r="A42" s="385"/>
      <c r="B42" s="386" t="s">
        <v>855</v>
      </c>
      <c r="C42" s="387"/>
    </row>
    <row r="43" spans="1:3" s="28" customFormat="1" ht="12.75">
      <c r="A43" s="426"/>
      <c r="B43" s="407" t="s">
        <v>75</v>
      </c>
      <c r="C43" s="427"/>
    </row>
    <row r="44" spans="1:3" s="28" customFormat="1" ht="12.75">
      <c r="A44" s="148"/>
      <c r="B44" s="25" t="s">
        <v>857</v>
      </c>
      <c r="C44" s="53"/>
    </row>
    <row r="45" spans="1:3" s="28" customFormat="1" ht="24">
      <c r="A45" s="148"/>
      <c r="B45" s="25" t="s">
        <v>920</v>
      </c>
      <c r="C45" s="53"/>
    </row>
    <row r="46" spans="1:3" s="28" customFormat="1" ht="24">
      <c r="A46" s="148"/>
      <c r="B46" s="25" t="s">
        <v>856</v>
      </c>
      <c r="C46" s="53"/>
    </row>
    <row r="47" spans="1:3" s="28" customFormat="1" ht="24">
      <c r="A47" s="148"/>
      <c r="B47" s="25" t="s">
        <v>858</v>
      </c>
      <c r="C47" s="53"/>
    </row>
    <row r="48" spans="1:3" ht="25.5" customHeight="1">
      <c r="A48" s="126"/>
      <c r="B48" s="25" t="s">
        <v>80</v>
      </c>
      <c r="C48" s="34"/>
    </row>
    <row r="49" spans="1:3" ht="12.75">
      <c r="A49" s="2"/>
      <c r="B49" s="48"/>
      <c r="C49" s="34"/>
    </row>
    <row r="50" spans="1:3" ht="12.75">
      <c r="A50" s="15"/>
      <c r="B50" s="30" t="s">
        <v>1098</v>
      </c>
      <c r="C50" s="34"/>
    </row>
    <row r="51" spans="1:3" ht="12.75">
      <c r="A51" s="15"/>
      <c r="B51" s="21" t="s">
        <v>1040</v>
      </c>
      <c r="C51" s="35"/>
    </row>
    <row r="52" spans="1:3" ht="39.75" customHeight="1">
      <c r="A52" s="15"/>
      <c r="B52" s="428" t="s">
        <v>81</v>
      </c>
      <c r="C52" s="429"/>
    </row>
    <row r="53" spans="1:3" ht="12.75">
      <c r="A53" s="15"/>
      <c r="B53" s="21" t="s">
        <v>82</v>
      </c>
      <c r="C53" s="35"/>
    </row>
    <row r="54" spans="1:3" ht="12.75">
      <c r="A54" s="2"/>
      <c r="B54" s="21" t="s">
        <v>1041</v>
      </c>
      <c r="C54" s="35"/>
    </row>
    <row r="55" spans="1:3" ht="12.75">
      <c r="A55" s="15"/>
      <c r="B55" s="21" t="s">
        <v>1042</v>
      </c>
      <c r="C55" s="35"/>
    </row>
    <row r="56" spans="1:3" ht="12.75">
      <c r="A56" s="15"/>
      <c r="B56" s="21" t="s">
        <v>599</v>
      </c>
      <c r="C56" s="35"/>
    </row>
    <row r="57" spans="1:3" ht="12.75">
      <c r="A57" s="15"/>
      <c r="B57" s="21" t="s">
        <v>600</v>
      </c>
      <c r="C57" s="35"/>
    </row>
    <row r="58" spans="1:3" ht="12.75">
      <c r="A58" s="17"/>
      <c r="B58" s="49" t="s">
        <v>848</v>
      </c>
      <c r="C58" s="35"/>
    </row>
    <row r="59" spans="1:3" ht="12.75">
      <c r="A59" s="15"/>
      <c r="B59" s="21" t="s">
        <v>879</v>
      </c>
      <c r="C59" s="35"/>
    </row>
    <row r="60" spans="1:3" ht="12.75">
      <c r="A60" s="15"/>
      <c r="B60" s="21" t="s">
        <v>721</v>
      </c>
      <c r="C60" s="35"/>
    </row>
    <row r="61" spans="1:3" ht="12.75">
      <c r="A61" s="15"/>
      <c r="B61" s="21" t="s">
        <v>878</v>
      </c>
      <c r="C61" s="35"/>
    </row>
    <row r="62" spans="1:3" ht="12.75">
      <c r="A62" s="15"/>
      <c r="B62" s="21" t="s">
        <v>722</v>
      </c>
      <c r="C62" s="35"/>
    </row>
    <row r="63" spans="1:3" ht="12.75">
      <c r="A63" s="15"/>
      <c r="B63" s="21" t="s">
        <v>748</v>
      </c>
      <c r="C63" s="35"/>
    </row>
    <row r="64" spans="1:3" ht="12.75">
      <c r="A64" s="15"/>
      <c r="B64" s="21" t="s">
        <v>876</v>
      </c>
      <c r="C64" s="35"/>
    </row>
    <row r="65" spans="1:3" ht="12" customHeight="1">
      <c r="A65" s="15"/>
      <c r="B65" s="21" t="s">
        <v>83</v>
      </c>
      <c r="C65" s="35"/>
    </row>
    <row r="66" spans="1:3" ht="12.75">
      <c r="A66" s="2"/>
      <c r="B66" s="21" t="s">
        <v>877</v>
      </c>
      <c r="C66" s="35"/>
    </row>
    <row r="67" spans="1:3" ht="12.75">
      <c r="A67" s="2"/>
      <c r="B67" s="21"/>
      <c r="C67" s="34"/>
    </row>
    <row r="68" spans="1:3" ht="12.75">
      <c r="A68" s="2"/>
      <c r="B68" s="29" t="s">
        <v>1099</v>
      </c>
      <c r="C68" s="34"/>
    </row>
    <row r="69" spans="1:3" ht="36">
      <c r="A69" s="128"/>
      <c r="B69" s="132" t="s">
        <v>254</v>
      </c>
      <c r="C69" s="35"/>
    </row>
    <row r="70" spans="1:3" ht="36">
      <c r="A70" s="125"/>
      <c r="B70" s="25" t="s">
        <v>63</v>
      </c>
      <c r="C70" s="34"/>
    </row>
    <row r="71" spans="1:3" ht="24">
      <c r="A71" s="125"/>
      <c r="B71" s="25" t="s">
        <v>839</v>
      </c>
      <c r="C71" s="34"/>
    </row>
    <row r="72" spans="1:3" ht="24">
      <c r="A72" s="125"/>
      <c r="B72" s="25" t="s">
        <v>840</v>
      </c>
      <c r="C72" s="34"/>
    </row>
    <row r="73" spans="1:3" ht="24">
      <c r="A73" s="125"/>
      <c r="B73" s="25" t="s">
        <v>841</v>
      </c>
      <c r="C73" s="34"/>
    </row>
    <row r="74" spans="1:3" ht="24.75" thickBot="1">
      <c r="A74" s="385"/>
      <c r="B74" s="386" t="s">
        <v>842</v>
      </c>
      <c r="C74" s="387"/>
    </row>
    <row r="75" spans="1:3" ht="12.75">
      <c r="A75" s="146"/>
      <c r="B75" s="407" t="s">
        <v>1114</v>
      </c>
      <c r="C75" s="384"/>
    </row>
    <row r="76" spans="1:3" ht="24">
      <c r="A76" s="125"/>
      <c r="B76" s="25" t="s">
        <v>843</v>
      </c>
      <c r="C76" s="34"/>
    </row>
    <row r="77" spans="1:3" ht="24">
      <c r="A77" s="125"/>
      <c r="B77" s="25" t="s">
        <v>844</v>
      </c>
      <c r="C77" s="34"/>
    </row>
    <row r="78" spans="1:3" ht="24">
      <c r="A78" s="125"/>
      <c r="B78" s="25" t="s">
        <v>845</v>
      </c>
      <c r="C78" s="34"/>
    </row>
    <row r="79" spans="1:3" ht="24">
      <c r="A79" s="125"/>
      <c r="B79" s="25" t="s">
        <v>846</v>
      </c>
      <c r="C79" s="34"/>
    </row>
    <row r="80" spans="1:3" ht="24">
      <c r="A80" s="126"/>
      <c r="B80" s="25" t="s">
        <v>847</v>
      </c>
      <c r="C80" s="34"/>
    </row>
    <row r="81" spans="1:3" ht="59.25" customHeight="1">
      <c r="A81" s="2"/>
      <c r="B81" s="50" t="s">
        <v>255</v>
      </c>
      <c r="C81" s="103" t="e">
        <f>C58/C132*100</f>
        <v>#DIV/0!</v>
      </c>
    </row>
    <row r="82" spans="1:3" ht="12.75">
      <c r="A82" s="2"/>
      <c r="B82" s="26" t="s">
        <v>58</v>
      </c>
      <c r="C82" s="103" t="e">
        <f>IF(C81&gt;50,0,IF(C81&gt;=35,1,IF(C81&gt;=20,2,IF(C81&gt;=10,3,IF(C81&gt;0,4)))))</f>
        <v>#DIV/0!</v>
      </c>
    </row>
    <row r="83" spans="1:3" ht="12.75">
      <c r="A83" s="2"/>
      <c r="B83" s="26" t="s">
        <v>59</v>
      </c>
      <c r="C83" s="103" t="b">
        <f>IF(C20&gt;55,0,IF(C20&gt;=30,1,IF(C20&gt;=18,2,IF(C20&gt;=9,3,IF(C20&gt;0,4)))))</f>
        <v>0</v>
      </c>
    </row>
    <row r="84" spans="1:3" ht="12.75">
      <c r="A84" s="2"/>
      <c r="B84" s="21"/>
      <c r="C84" s="34"/>
    </row>
    <row r="85" spans="1:3" ht="12.75">
      <c r="A85" s="15"/>
      <c r="B85" s="29" t="s">
        <v>1100</v>
      </c>
      <c r="C85" s="34"/>
    </row>
    <row r="86" spans="1:3" ht="12.75">
      <c r="A86" s="15"/>
      <c r="B86" s="21" t="s">
        <v>674</v>
      </c>
      <c r="C86" s="35"/>
    </row>
    <row r="87" spans="1:3" ht="12.75">
      <c r="A87" s="15"/>
      <c r="B87" s="21" t="s">
        <v>723</v>
      </c>
      <c r="C87" s="35"/>
    </row>
    <row r="88" spans="1:3" ht="41.25" customHeight="1">
      <c r="A88" s="15"/>
      <c r="B88" s="428" t="s">
        <v>244</v>
      </c>
      <c r="C88" s="35"/>
    </row>
    <row r="89" spans="1:3" ht="12.75">
      <c r="A89" s="15"/>
      <c r="B89" s="21" t="s">
        <v>1046</v>
      </c>
      <c r="C89" s="35"/>
    </row>
    <row r="90" spans="1:3" ht="12.75">
      <c r="A90" s="2"/>
      <c r="B90" s="21" t="s">
        <v>243</v>
      </c>
      <c r="C90" s="35"/>
    </row>
    <row r="91" spans="1:3" ht="12" customHeight="1">
      <c r="A91" s="2"/>
      <c r="B91" s="21" t="s">
        <v>56</v>
      </c>
      <c r="C91" s="35"/>
    </row>
    <row r="92" spans="1:3" ht="12.75">
      <c r="A92" s="2"/>
      <c r="B92" s="21" t="s">
        <v>675</v>
      </c>
      <c r="C92" s="35"/>
    </row>
    <row r="93" spans="1:3" ht="12.75">
      <c r="A93" s="2"/>
      <c r="B93" s="20" t="s">
        <v>676</v>
      </c>
      <c r="C93" s="35"/>
    </row>
    <row r="94" spans="1:3" ht="12.75">
      <c r="A94" s="2"/>
      <c r="B94" s="21" t="s">
        <v>1230</v>
      </c>
      <c r="C94" s="35"/>
    </row>
    <row r="95" spans="1:3" ht="12.75">
      <c r="A95" s="2"/>
      <c r="B95" s="20"/>
      <c r="C95" s="34"/>
    </row>
    <row r="96" spans="1:3" ht="12.75">
      <c r="A96" s="2"/>
      <c r="B96" s="30" t="s">
        <v>1101</v>
      </c>
      <c r="C96" s="34"/>
    </row>
    <row r="97" spans="1:3" ht="12.75">
      <c r="A97" s="2"/>
      <c r="B97" s="21" t="s">
        <v>851</v>
      </c>
      <c r="C97" s="35"/>
    </row>
    <row r="98" spans="1:3" ht="12.75">
      <c r="A98" s="2"/>
      <c r="B98" s="26" t="s">
        <v>853</v>
      </c>
      <c r="C98" s="103" t="b">
        <f>IF(C97&gt;168,0,IF(C97&gt;=24,1,IF(C97&gt;=12,2,IF(C97&gt;=4,3,IF(C97&gt;0,4)))))</f>
        <v>0</v>
      </c>
    </row>
    <row r="99" spans="1:3" ht="12.75">
      <c r="A99" s="2"/>
      <c r="B99" s="21" t="s">
        <v>852</v>
      </c>
      <c r="C99" s="35"/>
    </row>
    <row r="100" spans="1:3" ht="12.75">
      <c r="A100" s="2"/>
      <c r="B100" s="26" t="s">
        <v>853</v>
      </c>
      <c r="C100" s="103" t="b">
        <f>IF(C99&gt;168,0,IF(C99&gt;=48,1,IF(C99&gt;=24,2,IF(C99&gt;=9,3,IF(C99&gt;0,4)))))</f>
        <v>0</v>
      </c>
    </row>
    <row r="101" spans="1:3" ht="12.75">
      <c r="A101" s="2"/>
      <c r="B101" s="21" t="s">
        <v>1</v>
      </c>
      <c r="C101" s="35"/>
    </row>
    <row r="102" spans="1:3" ht="13.5" thickBot="1">
      <c r="A102" s="419"/>
      <c r="B102" s="413" t="s">
        <v>0</v>
      </c>
      <c r="C102" s="414" t="b">
        <f>IF(C101&gt;31,0,IF(C101&gt;=15,1,IF(C101&gt;=7,2,IF(C101&gt;=2,3,IF(C101&gt;0,4)))))</f>
        <v>0</v>
      </c>
    </row>
    <row r="103" spans="1:3" ht="12.75">
      <c r="A103" s="146"/>
      <c r="B103" s="407" t="s">
        <v>1115</v>
      </c>
      <c r="C103" s="384"/>
    </row>
    <row r="104" spans="1:3" ht="12.75">
      <c r="A104" s="125"/>
      <c r="B104" s="25" t="s">
        <v>2</v>
      </c>
      <c r="C104" s="34"/>
    </row>
    <row r="105" spans="1:3" ht="12.75">
      <c r="A105" s="125"/>
      <c r="B105" s="25" t="s">
        <v>3</v>
      </c>
      <c r="C105" s="34"/>
    </row>
    <row r="106" spans="1:3" ht="24">
      <c r="A106" s="125"/>
      <c r="B106" s="25" t="s">
        <v>4</v>
      </c>
      <c r="C106" s="34"/>
    </row>
    <row r="107" spans="1:3" ht="24">
      <c r="A107" s="125"/>
      <c r="B107" s="25" t="s">
        <v>6</v>
      </c>
      <c r="C107" s="34"/>
    </row>
    <row r="108" spans="1:3" ht="24.75" thickBot="1">
      <c r="A108" s="385"/>
      <c r="B108" s="386" t="s">
        <v>5</v>
      </c>
      <c r="C108" s="387"/>
    </row>
    <row r="109" spans="1:3" ht="24">
      <c r="A109" s="146"/>
      <c r="B109" s="407" t="s">
        <v>1116</v>
      </c>
      <c r="C109" s="430"/>
    </row>
    <row r="110" spans="1:3" ht="12.75">
      <c r="A110" s="125"/>
      <c r="B110" s="25" t="s">
        <v>7</v>
      </c>
      <c r="C110" s="34"/>
    </row>
    <row r="111" spans="1:3" ht="24">
      <c r="A111" s="125"/>
      <c r="B111" s="25" t="s">
        <v>8</v>
      </c>
      <c r="C111" s="34"/>
    </row>
    <row r="112" spans="1:3" ht="24.75" customHeight="1">
      <c r="A112" s="125"/>
      <c r="B112" s="25" t="s">
        <v>9</v>
      </c>
      <c r="C112" s="34"/>
    </row>
    <row r="113" spans="1:3" ht="12.75">
      <c r="A113" s="125"/>
      <c r="B113" s="25" t="s">
        <v>10</v>
      </c>
      <c r="C113" s="34"/>
    </row>
    <row r="114" spans="1:3" ht="13.5" thickBot="1">
      <c r="A114" s="385"/>
      <c r="B114" s="386" t="s">
        <v>11</v>
      </c>
      <c r="C114" s="387"/>
    </row>
    <row r="115" spans="1:3" ht="12.75">
      <c r="A115" s="146"/>
      <c r="B115" s="407" t="s">
        <v>1117</v>
      </c>
      <c r="C115" s="430"/>
    </row>
    <row r="116" spans="1:3" ht="24">
      <c r="A116" s="125"/>
      <c r="B116" s="25" t="s">
        <v>12</v>
      </c>
      <c r="C116" s="34"/>
    </row>
    <row r="117" spans="1:3" ht="24">
      <c r="A117" s="125"/>
      <c r="B117" s="25" t="s">
        <v>13</v>
      </c>
      <c r="C117" s="34"/>
    </row>
    <row r="118" spans="1:3" ht="25.5" customHeight="1">
      <c r="A118" s="125"/>
      <c r="B118" s="25" t="s">
        <v>245</v>
      </c>
      <c r="C118" s="34"/>
    </row>
    <row r="119" spans="1:3" ht="24">
      <c r="A119" s="125"/>
      <c r="B119" s="25" t="s">
        <v>673</v>
      </c>
      <c r="C119" s="34"/>
    </row>
    <row r="120" spans="1:3" ht="24.75" thickBot="1">
      <c r="A120" s="385"/>
      <c r="B120" s="386" t="s">
        <v>874</v>
      </c>
      <c r="C120" s="387"/>
    </row>
    <row r="121" spans="1:3" ht="33" customHeight="1">
      <c r="A121" s="126"/>
      <c r="B121" s="431" t="s">
        <v>880</v>
      </c>
      <c r="C121" s="432"/>
    </row>
    <row r="122" spans="1:3" ht="12.75">
      <c r="A122" s="2"/>
      <c r="B122" s="21" t="s">
        <v>678</v>
      </c>
      <c r="C122" s="35"/>
    </row>
    <row r="123" spans="1:3" ht="12.75">
      <c r="A123" s="15"/>
      <c r="B123" s="21" t="s">
        <v>679</v>
      </c>
      <c r="C123" s="35"/>
    </row>
    <row r="124" spans="1:3" ht="24">
      <c r="A124" s="2"/>
      <c r="B124" s="21" t="s">
        <v>859</v>
      </c>
      <c r="C124" s="35"/>
    </row>
    <row r="125" spans="1:3" ht="12.75">
      <c r="A125" s="2"/>
      <c r="B125" s="26" t="s">
        <v>1118</v>
      </c>
      <c r="C125" s="100" t="b">
        <f>IF(C124&gt;=5,0,IF(C124&gt;3,1,IF(C124&gt;=2,2,IF(C124&gt;=1,3,IF(C124&gt;0,4)))))</f>
        <v>0</v>
      </c>
    </row>
    <row r="126" spans="1:3" ht="15" customHeight="1">
      <c r="A126" s="15"/>
      <c r="B126" s="21" t="s">
        <v>1102</v>
      </c>
      <c r="C126" s="35"/>
    </row>
    <row r="127" spans="1:3" ht="12.75">
      <c r="A127" s="15"/>
      <c r="B127" s="21"/>
      <c r="C127" s="34"/>
    </row>
    <row r="128" spans="1:3" ht="12.75">
      <c r="A128" s="15"/>
      <c r="B128" s="30" t="s">
        <v>1103</v>
      </c>
      <c r="C128" s="34"/>
    </row>
    <row r="129" spans="1:3" ht="12.75">
      <c r="A129" s="15"/>
      <c r="B129" s="21" t="s">
        <v>246</v>
      </c>
      <c r="C129" s="35"/>
    </row>
    <row r="130" spans="1:3" ht="12.75">
      <c r="A130" s="15"/>
      <c r="B130" s="21" t="s">
        <v>327</v>
      </c>
      <c r="C130" s="35"/>
    </row>
    <row r="131" spans="1:3" ht="12.75">
      <c r="A131" s="15"/>
      <c r="B131" s="21" t="s">
        <v>680</v>
      </c>
      <c r="C131" s="54"/>
    </row>
    <row r="132" spans="1:3" ht="12.75">
      <c r="A132" s="15"/>
      <c r="B132" s="21" t="s">
        <v>849</v>
      </c>
      <c r="C132" s="35"/>
    </row>
    <row r="133" spans="1:3" ht="12.75">
      <c r="A133" s="15"/>
      <c r="B133" s="21" t="s">
        <v>1043</v>
      </c>
      <c r="C133" s="35"/>
    </row>
    <row r="134" spans="1:3" ht="12.75">
      <c r="A134" s="15"/>
      <c r="B134" s="21" t="s">
        <v>1044</v>
      </c>
      <c r="C134" s="35"/>
    </row>
    <row r="135" spans="1:3" ht="13.5" customHeight="1">
      <c r="A135" s="15"/>
      <c r="B135" s="21" t="s">
        <v>247</v>
      </c>
      <c r="C135" s="35"/>
    </row>
    <row r="136" spans="1:3" ht="12.75">
      <c r="A136" s="15"/>
      <c r="B136" s="21" t="s">
        <v>329</v>
      </c>
      <c r="C136" s="35"/>
    </row>
    <row r="137" spans="1:3" ht="12.75">
      <c r="A137" s="15"/>
      <c r="B137" s="21" t="s">
        <v>330</v>
      </c>
      <c r="C137" s="35"/>
    </row>
    <row r="138" spans="1:3" ht="12.75">
      <c r="A138" s="15"/>
      <c r="B138" s="21" t="s">
        <v>331</v>
      </c>
      <c r="C138" s="35"/>
    </row>
    <row r="139" spans="1:3" ht="12.75">
      <c r="A139" s="15"/>
      <c r="B139" s="21" t="s">
        <v>928</v>
      </c>
      <c r="C139" s="35"/>
    </row>
    <row r="140" spans="1:3" ht="12.75">
      <c r="A140" s="15"/>
      <c r="B140" s="21" t="s">
        <v>929</v>
      </c>
      <c r="C140" s="35"/>
    </row>
    <row r="141" spans="1:3" ht="12.75">
      <c r="A141" s="15"/>
      <c r="B141" s="21"/>
      <c r="C141" s="34"/>
    </row>
    <row r="142" spans="1:3" ht="12.75">
      <c r="A142" s="15"/>
      <c r="B142" s="29" t="s">
        <v>1104</v>
      </c>
      <c r="C142" s="34"/>
    </row>
    <row r="143" spans="1:3" ht="17.25" customHeight="1">
      <c r="A143" s="135"/>
      <c r="B143" s="132" t="s">
        <v>682</v>
      </c>
      <c r="C143" s="34"/>
    </row>
    <row r="144" spans="1:3" ht="12.75">
      <c r="A144" s="129"/>
      <c r="B144" s="20" t="s">
        <v>683</v>
      </c>
      <c r="C144" s="35"/>
    </row>
    <row r="145" spans="1:3" ht="12.75">
      <c r="A145" s="129"/>
      <c r="B145" s="20" t="s">
        <v>684</v>
      </c>
      <c r="C145" s="35"/>
    </row>
    <row r="146" spans="1:3" ht="12.75">
      <c r="A146" s="129"/>
      <c r="B146" s="20" t="s">
        <v>426</v>
      </c>
      <c r="C146" s="35"/>
    </row>
    <row r="147" spans="1:3" ht="12.75">
      <c r="A147" s="129"/>
      <c r="B147" s="20" t="s">
        <v>427</v>
      </c>
      <c r="C147" s="35"/>
    </row>
    <row r="148" spans="1:3" ht="12.75">
      <c r="A148" s="129"/>
      <c r="B148" s="20" t="s">
        <v>428</v>
      </c>
      <c r="C148" s="35"/>
    </row>
    <row r="149" spans="1:3" ht="12.75">
      <c r="A149" s="129"/>
      <c r="B149" s="411" t="s">
        <v>429</v>
      </c>
      <c r="C149" s="35"/>
    </row>
    <row r="150" spans="1:3" ht="13.5" thickBot="1">
      <c r="A150" s="445"/>
      <c r="B150" s="444" t="s">
        <v>925</v>
      </c>
      <c r="C150" s="414">
        <f>SUM(C144:C149)</f>
        <v>0</v>
      </c>
    </row>
    <row r="151" spans="1:3" ht="12.75">
      <c r="A151" s="162"/>
      <c r="B151" s="407" t="s">
        <v>430</v>
      </c>
      <c r="C151" s="402"/>
    </row>
    <row r="152" spans="1:3" ht="12.75">
      <c r="A152" s="129"/>
      <c r="B152" s="20" t="s">
        <v>683</v>
      </c>
      <c r="C152" s="35"/>
    </row>
    <row r="153" spans="1:3" ht="12.75">
      <c r="A153" s="129"/>
      <c r="B153" s="20" t="s">
        <v>684</v>
      </c>
      <c r="C153" s="35"/>
    </row>
    <row r="154" spans="1:3" ht="12.75">
      <c r="A154" s="129"/>
      <c r="B154" s="20" t="s">
        <v>426</v>
      </c>
      <c r="C154" s="35"/>
    </row>
    <row r="155" spans="1:3" ht="12.75">
      <c r="A155" s="129"/>
      <c r="B155" s="20" t="s">
        <v>427</v>
      </c>
      <c r="C155" s="35"/>
    </row>
    <row r="156" spans="1:3" ht="12.75">
      <c r="A156" s="129"/>
      <c r="B156" s="20" t="s">
        <v>428</v>
      </c>
      <c r="C156" s="35"/>
    </row>
    <row r="157" spans="1:3" ht="12.75">
      <c r="A157" s="134"/>
      <c r="B157" s="20" t="s">
        <v>429</v>
      </c>
      <c r="C157" s="35"/>
    </row>
    <row r="158" spans="1:3" ht="13.5" thickBot="1">
      <c r="A158" s="445"/>
      <c r="B158" s="444" t="s">
        <v>925</v>
      </c>
      <c r="C158" s="414">
        <f>SUM(C152:C157)</f>
        <v>0</v>
      </c>
    </row>
    <row r="159" spans="1:3" ht="12.75">
      <c r="A159" s="2"/>
      <c r="B159" s="29" t="s">
        <v>1105</v>
      </c>
      <c r="C159" s="34"/>
    </row>
    <row r="160" spans="1:3" ht="12.75">
      <c r="A160" s="2"/>
      <c r="B160" s="21" t="s">
        <v>432</v>
      </c>
      <c r="C160" s="35"/>
    </row>
    <row r="161" spans="1:3" ht="12.75">
      <c r="A161" s="2"/>
      <c r="B161" s="21" t="s">
        <v>433</v>
      </c>
      <c r="C161" s="35"/>
    </row>
    <row r="162" spans="1:3" ht="12.75">
      <c r="A162" s="2"/>
      <c r="B162" s="21" t="s">
        <v>434</v>
      </c>
      <c r="C162" s="35"/>
    </row>
    <row r="163" spans="1:3" ht="12.75">
      <c r="A163" s="2"/>
      <c r="B163" s="21" t="s">
        <v>435</v>
      </c>
      <c r="C163" s="35"/>
    </row>
    <row r="164" spans="1:3" ht="12.75">
      <c r="A164" s="2"/>
      <c r="B164" s="21" t="s">
        <v>436</v>
      </c>
      <c r="C164" s="35"/>
    </row>
    <row r="165" spans="1:3" ht="12.75">
      <c r="A165" s="2"/>
      <c r="B165" s="21" t="s">
        <v>1063</v>
      </c>
      <c r="C165" s="35"/>
    </row>
    <row r="166" spans="1:3" ht="12.75">
      <c r="A166" s="2"/>
      <c r="B166" s="21"/>
      <c r="C166" s="34"/>
    </row>
    <row r="167" spans="1:3" ht="12.75">
      <c r="A167" s="15"/>
      <c r="B167" s="29" t="s">
        <v>1106</v>
      </c>
      <c r="C167" s="34"/>
    </row>
    <row r="168" spans="1:3" ht="36">
      <c r="A168" s="135"/>
      <c r="B168" s="132" t="s">
        <v>256</v>
      </c>
      <c r="C168" s="35"/>
    </row>
    <row r="169" spans="1:3" ht="36">
      <c r="A169" s="129"/>
      <c r="B169" s="25" t="s">
        <v>64</v>
      </c>
      <c r="C169" s="34"/>
    </row>
    <row r="170" spans="1:3" ht="24">
      <c r="A170" s="129"/>
      <c r="B170" s="25" t="s">
        <v>65</v>
      </c>
      <c r="C170" s="34"/>
    </row>
    <row r="171" spans="1:3" ht="24">
      <c r="A171" s="129"/>
      <c r="B171" s="25" t="s">
        <v>66</v>
      </c>
      <c r="C171" s="34"/>
    </row>
    <row r="172" spans="1:3" ht="24">
      <c r="A172" s="129"/>
      <c r="B172" s="25" t="s">
        <v>67</v>
      </c>
      <c r="C172" s="34"/>
    </row>
    <row r="173" spans="1:3" ht="24.75" thickBot="1">
      <c r="A173" s="403"/>
      <c r="B173" s="386" t="s">
        <v>842</v>
      </c>
      <c r="C173" s="387"/>
    </row>
    <row r="174" spans="1:3" ht="12.75">
      <c r="A174" s="162"/>
      <c r="B174" s="407" t="s">
        <v>926</v>
      </c>
      <c r="C174" s="384"/>
    </row>
    <row r="175" spans="1:3" ht="24">
      <c r="A175" s="129"/>
      <c r="B175" s="25" t="s">
        <v>843</v>
      </c>
      <c r="C175" s="34"/>
    </row>
    <row r="176" spans="1:3" ht="24">
      <c r="A176" s="129"/>
      <c r="B176" s="25" t="s">
        <v>844</v>
      </c>
      <c r="C176" s="34"/>
    </row>
    <row r="177" spans="1:3" ht="24">
      <c r="A177" s="129"/>
      <c r="B177" s="25" t="s">
        <v>845</v>
      </c>
      <c r="C177" s="34"/>
    </row>
    <row r="178" spans="1:3" ht="24">
      <c r="A178" s="129"/>
      <c r="B178" s="25" t="s">
        <v>846</v>
      </c>
      <c r="C178" s="34"/>
    </row>
    <row r="179" spans="1:3" ht="24.75" thickBot="1">
      <c r="A179" s="403"/>
      <c r="B179" s="386" t="s">
        <v>847</v>
      </c>
      <c r="C179" s="387"/>
    </row>
    <row r="180" spans="1:3" ht="12.75">
      <c r="A180" s="162"/>
      <c r="B180" s="407" t="s">
        <v>1107</v>
      </c>
      <c r="C180" s="384"/>
    </row>
    <row r="181" spans="1:3" ht="12.75">
      <c r="A181" s="129"/>
      <c r="B181" s="25" t="s">
        <v>60</v>
      </c>
      <c r="C181" s="34"/>
    </row>
    <row r="182" spans="1:3" ht="12.75">
      <c r="A182" s="129"/>
      <c r="B182" s="25" t="s">
        <v>61</v>
      </c>
      <c r="C182" s="34"/>
    </row>
    <row r="183" spans="1:3" ht="13.5" thickBot="1">
      <c r="A183" s="403"/>
      <c r="B183" s="386" t="s">
        <v>62</v>
      </c>
      <c r="C183" s="387"/>
    </row>
    <row r="184" spans="1:3" ht="12.75">
      <c r="A184" s="134"/>
      <c r="B184" s="410"/>
      <c r="C184" s="402"/>
    </row>
    <row r="185" spans="2:3" ht="12.75">
      <c r="B185" s="51" t="s">
        <v>1108</v>
      </c>
      <c r="C185" s="34"/>
    </row>
    <row r="186" spans="1:3" ht="12.75">
      <c r="A186" s="135"/>
      <c r="B186" s="132" t="s">
        <v>1119</v>
      </c>
      <c r="C186" s="35"/>
    </row>
    <row r="187" spans="1:3" ht="12.75">
      <c r="A187" s="129"/>
      <c r="B187" s="25" t="s">
        <v>68</v>
      </c>
      <c r="C187" s="34"/>
    </row>
    <row r="188" spans="1:3" ht="12.75">
      <c r="A188" s="129"/>
      <c r="B188" s="25" t="s">
        <v>70</v>
      </c>
      <c r="C188" s="34"/>
    </row>
    <row r="189" spans="1:3" ht="13.5" thickBot="1">
      <c r="A189" s="403"/>
      <c r="B189" s="386" t="s">
        <v>69</v>
      </c>
      <c r="C189" s="387"/>
    </row>
    <row r="190" spans="1:3" ht="12.75">
      <c r="A190" s="162"/>
      <c r="B190" s="407" t="s">
        <v>1120</v>
      </c>
      <c r="C190" s="384"/>
    </row>
    <row r="191" spans="1:3" ht="12.75">
      <c r="A191" s="129"/>
      <c r="B191" s="25" t="s">
        <v>875</v>
      </c>
      <c r="C191" s="34"/>
    </row>
    <row r="192" spans="1:3" ht="12.75">
      <c r="A192" s="129"/>
      <c r="B192" s="25" t="s">
        <v>71</v>
      </c>
      <c r="C192" s="34"/>
    </row>
    <row r="193" spans="1:3" ht="13.5" thickBot="1">
      <c r="A193" s="403"/>
      <c r="B193" s="386" t="s">
        <v>213</v>
      </c>
      <c r="C193" s="387"/>
    </row>
    <row r="194" spans="1:3" ht="12.75">
      <c r="A194" s="162"/>
      <c r="B194" s="407" t="s">
        <v>1121</v>
      </c>
      <c r="C194" s="384"/>
    </row>
    <row r="195" spans="1:3" ht="12.75">
      <c r="A195" s="129"/>
      <c r="B195" s="25" t="s">
        <v>875</v>
      </c>
      <c r="C195" s="34"/>
    </row>
    <row r="196" spans="1:3" ht="12.75">
      <c r="A196" s="129"/>
      <c r="B196" s="25" t="s">
        <v>72</v>
      </c>
      <c r="C196" s="34"/>
    </row>
    <row r="197" spans="1:3" ht="13.5" thickBot="1">
      <c r="A197" s="403"/>
      <c r="B197" s="386" t="s">
        <v>167</v>
      </c>
      <c r="C197" s="387"/>
    </row>
    <row r="198" spans="1:3" ht="12.75">
      <c r="A198" s="162"/>
      <c r="B198" s="407" t="s">
        <v>1122</v>
      </c>
      <c r="C198" s="384"/>
    </row>
    <row r="199" spans="1:3" ht="12.75">
      <c r="A199" s="129"/>
      <c r="B199" s="25" t="s">
        <v>875</v>
      </c>
      <c r="C199" s="34"/>
    </row>
    <row r="200" spans="1:3" ht="12.75">
      <c r="A200" s="129"/>
      <c r="B200" s="25" t="s">
        <v>73</v>
      </c>
      <c r="C200" s="34"/>
    </row>
    <row r="201" spans="1:3" ht="13.5" thickBot="1">
      <c r="A201" s="403"/>
      <c r="B201" s="386" t="s">
        <v>212</v>
      </c>
      <c r="C201" s="387"/>
    </row>
    <row r="202" spans="1:3" ht="12.75">
      <c r="A202" s="134"/>
      <c r="B202" s="462" t="s">
        <v>1109</v>
      </c>
      <c r="C202" s="402"/>
    </row>
    <row r="203" spans="1:3" ht="36">
      <c r="A203" s="137"/>
      <c r="B203" s="132" t="s">
        <v>405</v>
      </c>
      <c r="C203" s="35"/>
    </row>
    <row r="204" spans="2:3" ht="24">
      <c r="B204" s="25" t="s">
        <v>1124</v>
      </c>
      <c r="C204" s="34"/>
    </row>
    <row r="205" spans="2:3" ht="12.75">
      <c r="B205" s="25" t="s">
        <v>1125</v>
      </c>
      <c r="C205" s="34"/>
    </row>
    <row r="206" spans="2:3" ht="12.75">
      <c r="B206" s="25" t="s">
        <v>1126</v>
      </c>
      <c r="C206" s="34"/>
    </row>
    <row r="207" spans="1:3" ht="13.5" thickBot="1">
      <c r="A207" s="389"/>
      <c r="B207" s="386" t="s">
        <v>1127</v>
      </c>
      <c r="C207" s="387"/>
    </row>
    <row r="208" spans="1:3" ht="36" customHeight="1">
      <c r="A208" s="388"/>
      <c r="B208" s="407" t="s">
        <v>1130</v>
      </c>
      <c r="C208" s="384"/>
    </row>
    <row r="209" spans="2:3" ht="24">
      <c r="B209" s="25" t="s">
        <v>1128</v>
      </c>
      <c r="C209" s="34"/>
    </row>
    <row r="210" spans="2:3" ht="24">
      <c r="B210" s="25" t="s">
        <v>1131</v>
      </c>
      <c r="C210" s="34"/>
    </row>
    <row r="211" spans="2:3" ht="24">
      <c r="B211" s="25" t="s">
        <v>372</v>
      </c>
      <c r="C211" s="34"/>
    </row>
    <row r="212" spans="1:3" ht="24.75" thickBot="1">
      <c r="A212" s="389"/>
      <c r="B212" s="386" t="s">
        <v>373</v>
      </c>
      <c r="C212" s="387"/>
    </row>
    <row r="213" spans="1:3" ht="12.75">
      <c r="A213" s="388"/>
      <c r="B213" s="407" t="s">
        <v>374</v>
      </c>
      <c r="C213" s="384"/>
    </row>
    <row r="214" spans="2:3" ht="12.75">
      <c r="B214" s="25" t="s">
        <v>375</v>
      </c>
      <c r="C214" s="34"/>
    </row>
    <row r="215" spans="2:3" ht="12.75">
      <c r="B215" s="25" t="s">
        <v>464</v>
      </c>
      <c r="C215" s="34"/>
    </row>
    <row r="216" spans="2:3" ht="12.75">
      <c r="B216" s="25" t="s">
        <v>465</v>
      </c>
      <c r="C216" s="34"/>
    </row>
    <row r="217" spans="1:3" ht="13.5" thickBot="1">
      <c r="A217" s="389"/>
      <c r="B217" s="386" t="s">
        <v>466</v>
      </c>
      <c r="C217" s="387"/>
    </row>
    <row r="218" spans="1:3" ht="24">
      <c r="A218" s="388"/>
      <c r="B218" s="407" t="s">
        <v>716</v>
      </c>
      <c r="C218" s="384"/>
    </row>
    <row r="219" spans="2:3" ht="12.75">
      <c r="B219" s="25" t="s">
        <v>467</v>
      </c>
      <c r="C219" s="34"/>
    </row>
    <row r="220" spans="2:3" ht="12.75">
      <c r="B220" s="25" t="s">
        <v>468</v>
      </c>
      <c r="C220" s="34"/>
    </row>
    <row r="221" spans="2:3" ht="12.75">
      <c r="B221" s="25" t="s">
        <v>717</v>
      </c>
      <c r="C221" s="34"/>
    </row>
    <row r="222" spans="1:3" ht="13.5" thickBot="1">
      <c r="A222" s="389"/>
      <c r="B222" s="386" t="s">
        <v>718</v>
      </c>
      <c r="C222" s="387"/>
    </row>
    <row r="223" spans="2:3" ht="12.75">
      <c r="B223" s="463"/>
      <c r="C223" s="402"/>
    </row>
    <row r="224" spans="2:3" ht="12.75">
      <c r="B224" s="40" t="s">
        <v>1110</v>
      </c>
      <c r="C224" s="34"/>
    </row>
    <row r="225" spans="1:3" ht="93" customHeight="1">
      <c r="A225" s="751" t="s">
        <v>988</v>
      </c>
      <c r="B225" s="752"/>
      <c r="C225" s="753"/>
    </row>
    <row r="226" spans="1:3" ht="12">
      <c r="A226" s="24" t="s">
        <v>1111</v>
      </c>
      <c r="C226" s="34"/>
    </row>
    <row r="227" spans="1:3" ht="12.75">
      <c r="A227" s="128"/>
      <c r="B227" s="132" t="s">
        <v>261</v>
      </c>
      <c r="C227" s="78"/>
    </row>
    <row r="228" spans="1:3" ht="24">
      <c r="A228" s="125"/>
      <c r="B228" s="25" t="s">
        <v>886</v>
      </c>
      <c r="C228" s="34"/>
    </row>
    <row r="229" spans="1:3" ht="24">
      <c r="A229" s="125"/>
      <c r="B229" s="25" t="s">
        <v>887</v>
      </c>
      <c r="C229" s="34"/>
    </row>
    <row r="230" spans="1:3" ht="12.75">
      <c r="A230" s="125"/>
      <c r="B230" s="25" t="s">
        <v>888</v>
      </c>
      <c r="C230" s="34"/>
    </row>
    <row r="231" spans="1:3" ht="12.75">
      <c r="A231" s="125"/>
      <c r="B231" s="25" t="s">
        <v>889</v>
      </c>
      <c r="C231" s="34"/>
    </row>
    <row r="232" spans="1:3" ht="24.75" thickBot="1">
      <c r="A232" s="385"/>
      <c r="B232" s="386" t="s">
        <v>1336</v>
      </c>
      <c r="C232" s="387"/>
    </row>
    <row r="233" spans="1:3" ht="12.75">
      <c r="A233" s="146"/>
      <c r="B233" s="407" t="s">
        <v>260</v>
      </c>
      <c r="C233" s="464"/>
    </row>
    <row r="234" spans="1:3" ht="24">
      <c r="A234" s="125"/>
      <c r="B234" s="25" t="s">
        <v>251</v>
      </c>
      <c r="C234" s="34"/>
    </row>
    <row r="235" spans="1:3" ht="24">
      <c r="A235" s="125"/>
      <c r="B235" s="25" t="s">
        <v>252</v>
      </c>
      <c r="C235" s="34"/>
    </row>
    <row r="236" spans="1:3" ht="24">
      <c r="A236" s="125"/>
      <c r="B236" s="25" t="s">
        <v>1337</v>
      </c>
      <c r="C236" s="34"/>
    </row>
    <row r="237" spans="1:3" ht="24">
      <c r="A237" s="125"/>
      <c r="B237" s="25" t="s">
        <v>258</v>
      </c>
      <c r="C237" s="34"/>
    </row>
    <row r="238" spans="1:3" ht="24.75" thickBot="1">
      <c r="A238" s="385"/>
      <c r="B238" s="386" t="s">
        <v>259</v>
      </c>
      <c r="C238" s="387"/>
    </row>
    <row r="239" spans="1:3" ht="12.75">
      <c r="A239" s="146"/>
      <c r="B239" s="407" t="s">
        <v>262</v>
      </c>
      <c r="C239" s="464"/>
    </row>
    <row r="240" spans="1:3" ht="12.75">
      <c r="A240" s="125"/>
      <c r="B240" s="25" t="s">
        <v>263</v>
      </c>
      <c r="C240" s="34"/>
    </row>
    <row r="241" spans="1:3" ht="12.75">
      <c r="A241" s="125"/>
      <c r="B241" s="25" t="s">
        <v>265</v>
      </c>
      <c r="C241" s="34"/>
    </row>
    <row r="242" spans="1:3" ht="12.75">
      <c r="A242" s="125"/>
      <c r="B242" s="25" t="s">
        <v>264</v>
      </c>
      <c r="C242" s="34"/>
    </row>
    <row r="243" spans="1:3" ht="12.75">
      <c r="A243" s="125"/>
      <c r="B243" s="25" t="s">
        <v>266</v>
      </c>
      <c r="C243" s="34"/>
    </row>
    <row r="244" spans="1:3" ht="13.5" thickBot="1">
      <c r="A244" s="385"/>
      <c r="B244" s="386" t="s">
        <v>267</v>
      </c>
      <c r="C244" s="387"/>
    </row>
    <row r="245" spans="1:3" ht="12.75">
      <c r="A245" s="146"/>
      <c r="B245" s="407" t="s">
        <v>253</v>
      </c>
      <c r="C245" s="464"/>
    </row>
    <row r="246" spans="1:3" ht="12.75">
      <c r="A246" s="125"/>
      <c r="B246" s="25" t="s">
        <v>268</v>
      </c>
      <c r="C246" s="34"/>
    </row>
    <row r="247" spans="1:3" ht="12.75">
      <c r="A247" s="125"/>
      <c r="B247" s="25" t="s">
        <v>269</v>
      </c>
      <c r="C247" s="34"/>
    </row>
    <row r="248" spans="1:3" ht="12.75">
      <c r="A248" s="125"/>
      <c r="B248" s="25" t="s">
        <v>270</v>
      </c>
      <c r="C248" s="34"/>
    </row>
    <row r="249" spans="1:3" ht="12.75">
      <c r="A249" s="125"/>
      <c r="B249" s="25" t="s">
        <v>271</v>
      </c>
      <c r="C249" s="34"/>
    </row>
    <row r="250" spans="1:3" ht="13.5" thickBot="1">
      <c r="A250" s="385"/>
      <c r="B250" s="470" t="s">
        <v>1090</v>
      </c>
      <c r="C250" s="387"/>
    </row>
  </sheetData>
  <mergeCells count="1">
    <mergeCell ref="A225:C225"/>
  </mergeCells>
  <printOptions headings="1" horizontalCentered="1" verticalCentered="1"/>
  <pageMargins left="0.75" right="0.75" top="1" bottom="1" header="0.5" footer="0.5"/>
  <pageSetup fitToHeight="20" fitToWidth="1" horizontalDpi="300" verticalDpi="300" orientation="portrait" scale="80" r:id="rId1"/>
  <headerFooter alignWithMargins="0">
    <oddHeader>&amp;C&amp;F</oddHeader>
    <oddFooter>&amp;LFAO/WB/Cal Poly ITRC&amp;C&amp;A&amp;RPage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250"/>
  <sheetViews>
    <sheetView zoomScale="75" zoomScaleNormal="75" workbookViewId="0" topLeftCell="A1">
      <selection activeCell="D1" sqref="D1"/>
    </sheetView>
  </sheetViews>
  <sheetFormatPr defaultColWidth="9.140625" defaultRowHeight="12.75"/>
  <cols>
    <col min="1" max="1" width="1.7109375" style="18" customWidth="1"/>
    <col min="2" max="2" width="84.421875" style="3" customWidth="1"/>
    <col min="3" max="3" width="23.8515625" style="4" customWidth="1"/>
    <col min="4" max="16384" width="9.140625" style="5" customWidth="1"/>
  </cols>
  <sheetData>
    <row r="1" spans="1:3" s="10" customFormat="1" ht="23.25">
      <c r="A1" s="1">
        <f>'5. Project Office Questions'!A1</f>
        <v>0</v>
      </c>
      <c r="B1" s="8"/>
      <c r="C1" s="9"/>
    </row>
    <row r="2" spans="1:3" s="10" customFormat="1" ht="23.25">
      <c r="A2" s="1" t="str">
        <f>'5. Project Office Questions'!A2</f>
        <v>Project Name:</v>
      </c>
      <c r="B2" s="8"/>
      <c r="C2" s="9"/>
    </row>
    <row r="3" spans="1:3" s="10" customFormat="1" ht="23.25">
      <c r="A3" s="1"/>
      <c r="B3" s="649">
        <f>'5. Project Office Questions'!B3</f>
        <v>0</v>
      </c>
      <c r="C3" s="9"/>
    </row>
    <row r="4" spans="1:3" s="14" customFormat="1" ht="16.5" customHeight="1">
      <c r="A4" s="11" t="str">
        <f>'5. Project Office Questions'!A4</f>
        <v>Date: </v>
      </c>
      <c r="B4" s="12"/>
      <c r="C4" s="13"/>
    </row>
    <row r="5" spans="1:3" s="14" customFormat="1" ht="15.75">
      <c r="A5" s="11"/>
      <c r="B5" s="648">
        <f>'5. Project Office Questions'!B5</f>
        <v>0</v>
      </c>
      <c r="C5" s="13"/>
    </row>
    <row r="6" spans="1:3" ht="12.75">
      <c r="A6" s="15" t="s">
        <v>257</v>
      </c>
      <c r="B6" s="22"/>
      <c r="C6" s="34"/>
    </row>
    <row r="7" spans="1:3" ht="12.75">
      <c r="A7" s="15"/>
      <c r="B7" s="29" t="s">
        <v>295</v>
      </c>
      <c r="C7" s="34"/>
    </row>
    <row r="8" spans="1:3" ht="12.75">
      <c r="A8" s="2"/>
      <c r="B8" s="21" t="s">
        <v>588</v>
      </c>
      <c r="C8" s="35"/>
    </row>
    <row r="9" spans="1:3" ht="12.75">
      <c r="A9" s="2"/>
      <c r="B9" s="21" t="s">
        <v>589</v>
      </c>
      <c r="C9" s="35"/>
    </row>
    <row r="10" spans="1:3" ht="12.75">
      <c r="A10" s="2"/>
      <c r="B10" s="21" t="s">
        <v>1189</v>
      </c>
      <c r="C10" s="35"/>
    </row>
    <row r="11" spans="1:3" ht="12.75">
      <c r="A11" s="2"/>
      <c r="B11" s="19"/>
      <c r="C11" s="34"/>
    </row>
    <row r="12" spans="1:3" ht="12.75">
      <c r="A12" s="15"/>
      <c r="B12" s="30" t="s">
        <v>296</v>
      </c>
      <c r="C12" s="34"/>
    </row>
    <row r="13" spans="1:3" ht="12.75">
      <c r="A13" s="15"/>
      <c r="B13" s="21" t="s">
        <v>447</v>
      </c>
      <c r="C13" s="35"/>
    </row>
    <row r="14" spans="1:3" ht="12.75">
      <c r="A14" s="15"/>
      <c r="B14" s="21" t="s">
        <v>448</v>
      </c>
      <c r="C14" s="35"/>
    </row>
    <row r="15" spans="1:3" ht="12.75">
      <c r="A15" s="15"/>
      <c r="B15" s="21" t="s">
        <v>1190</v>
      </c>
      <c r="C15" s="52"/>
    </row>
    <row r="16" spans="1:3" ht="12.75">
      <c r="A16" s="2"/>
      <c r="B16" s="21" t="s">
        <v>873</v>
      </c>
      <c r="C16" s="35"/>
    </row>
    <row r="17" spans="1:3" ht="12.75">
      <c r="A17" s="2"/>
      <c r="B17" s="21" t="s">
        <v>195</v>
      </c>
      <c r="C17" s="35"/>
    </row>
    <row r="18" spans="1:3" ht="12.75">
      <c r="A18" s="2"/>
      <c r="B18" s="21" t="s">
        <v>1153</v>
      </c>
      <c r="C18" s="35"/>
    </row>
    <row r="19" spans="1:3" ht="12.75">
      <c r="A19" s="15"/>
      <c r="B19" s="21" t="s">
        <v>593</v>
      </c>
      <c r="C19" s="35"/>
    </row>
    <row r="20" spans="1:3" ht="24">
      <c r="A20" s="2"/>
      <c r="B20" s="21" t="s">
        <v>919</v>
      </c>
      <c r="C20" s="35"/>
    </row>
    <row r="21" spans="1:3" ht="12.75">
      <c r="A21" s="15"/>
      <c r="B21" s="21" t="s">
        <v>594</v>
      </c>
      <c r="C21" s="35"/>
    </row>
    <row r="22" spans="1:3" ht="12.75">
      <c r="A22" s="15"/>
      <c r="B22" s="21" t="s">
        <v>595</v>
      </c>
      <c r="C22" s="35"/>
    </row>
    <row r="23" spans="1:3" ht="12.75">
      <c r="A23" s="2"/>
      <c r="B23" s="21" t="s">
        <v>1064</v>
      </c>
      <c r="C23" s="35"/>
    </row>
    <row r="24" spans="1:3" ht="12.75">
      <c r="A24" s="2"/>
      <c r="B24" s="20" t="s">
        <v>1039</v>
      </c>
      <c r="C24" s="35"/>
    </row>
    <row r="25" spans="1:3" ht="12.75">
      <c r="A25" s="128"/>
      <c r="B25" s="132" t="s">
        <v>1154</v>
      </c>
      <c r="C25" s="34"/>
    </row>
    <row r="26" spans="1:3" ht="12.75">
      <c r="A26" s="125"/>
      <c r="B26" s="20" t="s">
        <v>596</v>
      </c>
      <c r="C26" s="35"/>
    </row>
    <row r="27" spans="1:3" ht="12.75">
      <c r="A27" s="125"/>
      <c r="B27" s="20" t="s">
        <v>597</v>
      </c>
      <c r="C27" s="35"/>
    </row>
    <row r="28" spans="1:3" ht="12.75">
      <c r="A28" s="125"/>
      <c r="B28" s="20" t="s">
        <v>446</v>
      </c>
      <c r="C28" s="35"/>
    </row>
    <row r="29" spans="1:3" ht="12.75">
      <c r="A29" s="126"/>
      <c r="B29" s="20" t="s">
        <v>598</v>
      </c>
      <c r="C29" s="35"/>
    </row>
    <row r="30" spans="1:3" ht="13.5" thickBot="1">
      <c r="A30" s="445"/>
      <c r="B30" s="444" t="s">
        <v>925</v>
      </c>
      <c r="C30" s="414">
        <f>SUM(C26:C29)</f>
        <v>0</v>
      </c>
    </row>
    <row r="31" spans="1:3" ht="15.75" customHeight="1">
      <c r="A31" s="146"/>
      <c r="B31" s="407" t="s">
        <v>74</v>
      </c>
      <c r="C31" s="384"/>
    </row>
    <row r="32" spans="1:3" ht="12.75">
      <c r="A32" s="125"/>
      <c r="B32" s="25" t="s">
        <v>875</v>
      </c>
      <c r="C32" s="34"/>
    </row>
    <row r="33" spans="1:3" ht="12.75">
      <c r="A33" s="125"/>
      <c r="B33" s="25" t="s">
        <v>29</v>
      </c>
      <c r="C33" s="34"/>
    </row>
    <row r="34" spans="1:3" ht="24">
      <c r="A34" s="125"/>
      <c r="B34" s="25" t="s">
        <v>30</v>
      </c>
      <c r="C34" s="34"/>
    </row>
    <row r="35" spans="1:3" ht="12.75">
      <c r="A35" s="125"/>
      <c r="B35" s="25" t="s">
        <v>31</v>
      </c>
      <c r="C35" s="34"/>
    </row>
    <row r="36" spans="1:3" ht="13.5" thickBot="1">
      <c r="A36" s="385"/>
      <c r="B36" s="386" t="s">
        <v>712</v>
      </c>
      <c r="C36" s="387"/>
    </row>
    <row r="37" spans="1:3" ht="24.75" customHeight="1">
      <c r="A37" s="146"/>
      <c r="B37" s="407" t="s">
        <v>1077</v>
      </c>
      <c r="C37" s="384"/>
    </row>
    <row r="38" spans="1:3" ht="12.75">
      <c r="A38" s="125"/>
      <c r="B38" s="25" t="s">
        <v>713</v>
      </c>
      <c r="C38" s="34"/>
    </row>
    <row r="39" spans="1:3" ht="12.75">
      <c r="A39" s="125"/>
      <c r="B39" s="25" t="s">
        <v>715</v>
      </c>
      <c r="C39" s="34"/>
    </row>
    <row r="40" spans="1:3" ht="12.75">
      <c r="A40" s="125"/>
      <c r="B40" s="25" t="s">
        <v>714</v>
      </c>
      <c r="C40" s="34"/>
    </row>
    <row r="41" spans="1:3" ht="12.75">
      <c r="A41" s="125"/>
      <c r="B41" s="25" t="s">
        <v>854</v>
      </c>
      <c r="C41" s="34"/>
    </row>
    <row r="42" spans="1:3" ht="24.75" customHeight="1" thickBot="1">
      <c r="A42" s="385"/>
      <c r="B42" s="386" t="s">
        <v>855</v>
      </c>
      <c r="C42" s="387"/>
    </row>
    <row r="43" spans="1:3" s="28" customFormat="1" ht="12.75">
      <c r="A43" s="426"/>
      <c r="B43" s="407" t="s">
        <v>75</v>
      </c>
      <c r="C43" s="427"/>
    </row>
    <row r="44" spans="1:3" s="28" customFormat="1" ht="12.75">
      <c r="A44" s="148"/>
      <c r="B44" s="25" t="s">
        <v>857</v>
      </c>
      <c r="C44" s="53"/>
    </row>
    <row r="45" spans="1:3" s="28" customFormat="1" ht="24">
      <c r="A45" s="148"/>
      <c r="B45" s="25" t="s">
        <v>920</v>
      </c>
      <c r="C45" s="53"/>
    </row>
    <row r="46" spans="1:3" s="28" customFormat="1" ht="24">
      <c r="A46" s="148"/>
      <c r="B46" s="25" t="s">
        <v>856</v>
      </c>
      <c r="C46" s="53"/>
    </row>
    <row r="47" spans="1:3" s="28" customFormat="1" ht="24">
      <c r="A47" s="148"/>
      <c r="B47" s="25" t="s">
        <v>858</v>
      </c>
      <c r="C47" s="53"/>
    </row>
    <row r="48" spans="1:3" ht="25.5" customHeight="1">
      <c r="A48" s="126"/>
      <c r="B48" s="25" t="s">
        <v>80</v>
      </c>
      <c r="C48" s="34"/>
    </row>
    <row r="49" spans="1:3" ht="12.75">
      <c r="A49" s="2"/>
      <c r="B49" s="48"/>
      <c r="C49" s="34"/>
    </row>
    <row r="50" spans="1:3" ht="12.75">
      <c r="A50" s="15"/>
      <c r="B50" s="30" t="s">
        <v>449</v>
      </c>
      <c r="C50" s="34"/>
    </row>
    <row r="51" spans="1:3" ht="12.75">
      <c r="A51" s="15"/>
      <c r="B51" s="21" t="s">
        <v>1040</v>
      </c>
      <c r="C51" s="35"/>
    </row>
    <row r="52" spans="1:3" ht="39.75" customHeight="1">
      <c r="A52" s="15"/>
      <c r="B52" s="428" t="s">
        <v>81</v>
      </c>
      <c r="C52" s="429"/>
    </row>
    <row r="53" spans="1:3" ht="12.75">
      <c r="A53" s="15"/>
      <c r="B53" s="21" t="s">
        <v>82</v>
      </c>
      <c r="C53" s="35"/>
    </row>
    <row r="54" spans="1:3" ht="12.75">
      <c r="A54" s="2"/>
      <c r="B54" s="21" t="s">
        <v>1041</v>
      </c>
      <c r="C54" s="35"/>
    </row>
    <row r="55" spans="1:3" ht="12.75">
      <c r="A55" s="15"/>
      <c r="B55" s="21" t="s">
        <v>1042</v>
      </c>
      <c r="C55" s="35"/>
    </row>
    <row r="56" spans="1:3" ht="12.75">
      <c r="A56" s="15"/>
      <c r="B56" s="21" t="s">
        <v>599</v>
      </c>
      <c r="C56" s="35"/>
    </row>
    <row r="57" spans="1:3" ht="12.75">
      <c r="A57" s="15"/>
      <c r="B57" s="21" t="s">
        <v>600</v>
      </c>
      <c r="C57" s="35"/>
    </row>
    <row r="58" spans="1:3" ht="12.75">
      <c r="A58" s="17"/>
      <c r="B58" s="49" t="s">
        <v>848</v>
      </c>
      <c r="C58" s="35"/>
    </row>
    <row r="59" spans="1:3" ht="12.75">
      <c r="A59" s="15"/>
      <c r="B59" s="21" t="s">
        <v>879</v>
      </c>
      <c r="C59" s="35"/>
    </row>
    <row r="60" spans="1:3" ht="12.75">
      <c r="A60" s="15"/>
      <c r="B60" s="21" t="s">
        <v>721</v>
      </c>
      <c r="C60" s="35"/>
    </row>
    <row r="61" spans="1:3" ht="12.75">
      <c r="A61" s="15"/>
      <c r="B61" s="21" t="s">
        <v>878</v>
      </c>
      <c r="C61" s="35"/>
    </row>
    <row r="62" spans="1:3" ht="12.75">
      <c r="A62" s="15"/>
      <c r="B62" s="21" t="s">
        <v>722</v>
      </c>
      <c r="C62" s="35"/>
    </row>
    <row r="63" spans="1:3" ht="12.75">
      <c r="A63" s="15"/>
      <c r="B63" s="21" t="s">
        <v>748</v>
      </c>
      <c r="C63" s="35"/>
    </row>
    <row r="64" spans="1:3" ht="12.75">
      <c r="A64" s="15"/>
      <c r="B64" s="21" t="s">
        <v>876</v>
      </c>
      <c r="C64" s="35"/>
    </row>
    <row r="65" spans="1:3" ht="12" customHeight="1">
      <c r="A65" s="15"/>
      <c r="B65" s="21" t="s">
        <v>83</v>
      </c>
      <c r="C65" s="35"/>
    </row>
    <row r="66" spans="1:3" ht="12.75">
      <c r="A66" s="2"/>
      <c r="B66" s="21" t="s">
        <v>877</v>
      </c>
      <c r="C66" s="35"/>
    </row>
    <row r="67" spans="1:3" ht="12.75">
      <c r="A67" s="2"/>
      <c r="B67" s="21"/>
      <c r="C67" s="34"/>
    </row>
    <row r="68" spans="1:3" ht="12.75">
      <c r="A68" s="2"/>
      <c r="B68" s="29" t="s">
        <v>1155</v>
      </c>
      <c r="C68" s="34"/>
    </row>
    <row r="69" spans="1:3" ht="36">
      <c r="A69" s="128"/>
      <c r="B69" s="132" t="s">
        <v>254</v>
      </c>
      <c r="C69" s="35"/>
    </row>
    <row r="70" spans="1:3" ht="36">
      <c r="A70" s="125"/>
      <c r="B70" s="25" t="s">
        <v>63</v>
      </c>
      <c r="C70" s="34"/>
    </row>
    <row r="71" spans="1:3" ht="24">
      <c r="A71" s="125"/>
      <c r="B71" s="25" t="s">
        <v>839</v>
      </c>
      <c r="C71" s="34"/>
    </row>
    <row r="72" spans="1:3" ht="24">
      <c r="A72" s="125"/>
      <c r="B72" s="25" t="s">
        <v>840</v>
      </c>
      <c r="C72" s="34"/>
    </row>
    <row r="73" spans="1:3" ht="24">
      <c r="A73" s="125"/>
      <c r="B73" s="25" t="s">
        <v>841</v>
      </c>
      <c r="C73" s="34"/>
    </row>
    <row r="74" spans="1:3" ht="24.75" thickBot="1">
      <c r="A74" s="385"/>
      <c r="B74" s="386" t="s">
        <v>842</v>
      </c>
      <c r="C74" s="387"/>
    </row>
    <row r="75" spans="1:3" ht="12.75">
      <c r="A75" s="146"/>
      <c r="B75" s="407" t="s">
        <v>1114</v>
      </c>
      <c r="C75" s="384"/>
    </row>
    <row r="76" spans="1:3" ht="24">
      <c r="A76" s="125"/>
      <c r="B76" s="25" t="s">
        <v>843</v>
      </c>
      <c r="C76" s="34"/>
    </row>
    <row r="77" spans="1:3" ht="24">
      <c r="A77" s="125"/>
      <c r="B77" s="25" t="s">
        <v>844</v>
      </c>
      <c r="C77" s="34"/>
    </row>
    <row r="78" spans="1:3" ht="24">
      <c r="A78" s="125"/>
      <c r="B78" s="25" t="s">
        <v>845</v>
      </c>
      <c r="C78" s="34"/>
    </row>
    <row r="79" spans="1:3" ht="24">
      <c r="A79" s="125"/>
      <c r="B79" s="25" t="s">
        <v>846</v>
      </c>
      <c r="C79" s="34"/>
    </row>
    <row r="80" spans="1:3" ht="24.75" thickBot="1">
      <c r="A80" s="385"/>
      <c r="B80" s="386" t="s">
        <v>847</v>
      </c>
      <c r="C80" s="387"/>
    </row>
    <row r="81" spans="1:3" ht="59.25" customHeight="1">
      <c r="A81" s="126"/>
      <c r="B81" s="471" t="s">
        <v>255</v>
      </c>
      <c r="C81" s="472" t="e">
        <f>C58/C132*100</f>
        <v>#DIV/0!</v>
      </c>
    </row>
    <row r="82" spans="1:3" ht="12.75">
      <c r="A82" s="2"/>
      <c r="B82" s="26" t="s">
        <v>58</v>
      </c>
      <c r="C82" s="103" t="e">
        <f>IF(C81&gt;50,0,IF(C81&gt;=35,1,IF(C81&gt;=20,2,IF(C81&gt;=10,3,IF(C81&gt;0,4)))))</f>
        <v>#DIV/0!</v>
      </c>
    </row>
    <row r="83" spans="1:3" ht="12.75">
      <c r="A83" s="2"/>
      <c r="B83" s="26" t="s">
        <v>59</v>
      </c>
      <c r="C83" s="103" t="b">
        <f>IF(C20&gt;55,0,IF(C20&gt;=30,1,IF(C20&gt;=18,2,IF(C20&gt;=9,3,IF(C20&gt;0,4)))))</f>
        <v>0</v>
      </c>
    </row>
    <row r="84" spans="1:3" ht="12.75">
      <c r="A84" s="2"/>
      <c r="B84" s="21"/>
      <c r="C84" s="34"/>
    </row>
    <row r="85" spans="1:3" ht="12.75">
      <c r="A85" s="15"/>
      <c r="B85" s="29" t="s">
        <v>450</v>
      </c>
      <c r="C85" s="34"/>
    </row>
    <row r="86" spans="1:3" ht="12.75">
      <c r="A86" s="15"/>
      <c r="B86" s="21" t="s">
        <v>674</v>
      </c>
      <c r="C86" s="35"/>
    </row>
    <row r="87" spans="1:3" ht="12.75">
      <c r="A87" s="15"/>
      <c r="B87" s="21" t="s">
        <v>723</v>
      </c>
      <c r="C87" s="35"/>
    </row>
    <row r="88" spans="1:3" ht="41.25" customHeight="1">
      <c r="A88" s="15"/>
      <c r="B88" s="428" t="s">
        <v>244</v>
      </c>
      <c r="C88" s="35"/>
    </row>
    <row r="89" spans="1:3" ht="12.75">
      <c r="A89" s="15"/>
      <c r="B89" s="21" t="s">
        <v>1046</v>
      </c>
      <c r="C89" s="35"/>
    </row>
    <row r="90" spans="1:3" ht="12.75">
      <c r="A90" s="2"/>
      <c r="B90" s="21" t="s">
        <v>243</v>
      </c>
      <c r="C90" s="35"/>
    </row>
    <row r="91" spans="1:3" ht="12" customHeight="1">
      <c r="A91" s="2"/>
      <c r="B91" s="21" t="s">
        <v>56</v>
      </c>
      <c r="C91" s="35"/>
    </row>
    <row r="92" spans="1:3" ht="12.75">
      <c r="A92" s="2"/>
      <c r="B92" s="21" t="s">
        <v>675</v>
      </c>
      <c r="C92" s="35"/>
    </row>
    <row r="93" spans="1:3" ht="12.75">
      <c r="A93" s="2"/>
      <c r="B93" s="20" t="s">
        <v>676</v>
      </c>
      <c r="C93" s="35"/>
    </row>
    <row r="94" spans="1:3" ht="12.75">
      <c r="A94" s="2"/>
      <c r="B94" s="21" t="s">
        <v>1230</v>
      </c>
      <c r="C94" s="35"/>
    </row>
    <row r="95" spans="1:3" ht="12.75">
      <c r="A95" s="2"/>
      <c r="B95" s="20"/>
      <c r="C95" s="34"/>
    </row>
    <row r="96" spans="1:3" ht="12.75">
      <c r="A96" s="2"/>
      <c r="B96" s="30" t="s">
        <v>297</v>
      </c>
      <c r="C96" s="34"/>
    </row>
    <row r="97" spans="1:3" ht="12.75">
      <c r="A97" s="2"/>
      <c r="B97" s="21" t="s">
        <v>851</v>
      </c>
      <c r="C97" s="35"/>
    </row>
    <row r="98" spans="1:3" ht="12.75">
      <c r="A98" s="2"/>
      <c r="B98" s="26" t="s">
        <v>853</v>
      </c>
      <c r="C98" s="103" t="b">
        <f>IF(C97&gt;168,0,IF(C97&gt;=24,1,IF(C97&gt;=12,2,IF(C97&gt;=4,3,IF(C97&gt;0,4)))))</f>
        <v>0</v>
      </c>
    </row>
    <row r="99" spans="1:3" ht="12.75">
      <c r="A99" s="2"/>
      <c r="B99" s="21" t="s">
        <v>852</v>
      </c>
      <c r="C99" s="35"/>
    </row>
    <row r="100" spans="1:3" ht="12.75">
      <c r="A100" s="2"/>
      <c r="B100" s="26" t="s">
        <v>853</v>
      </c>
      <c r="C100" s="103" t="b">
        <f>IF(C99&gt;168,0,IF(C99&gt;=48,1,IF(C99&gt;=24,2,IF(C99&gt;=9,3,IF(C99&gt;0,4)))))</f>
        <v>0</v>
      </c>
    </row>
    <row r="101" spans="1:3" ht="12.75">
      <c r="A101" s="2"/>
      <c r="B101" s="21" t="s">
        <v>1</v>
      </c>
      <c r="C101" s="35"/>
    </row>
    <row r="102" spans="1:3" ht="13.5" thickBot="1">
      <c r="A102" s="419"/>
      <c r="B102" s="413" t="s">
        <v>0</v>
      </c>
      <c r="C102" s="414" t="b">
        <f>IF(C101&gt;31,0,IF(C101&gt;=15,1,IF(C101&gt;=7,2,IF(C101&gt;=2,3,IF(C101&gt;0,4)))))</f>
        <v>0</v>
      </c>
    </row>
    <row r="103" spans="1:3" ht="12.75">
      <c r="A103" s="146"/>
      <c r="B103" s="407" t="s">
        <v>1115</v>
      </c>
      <c r="C103" s="384"/>
    </row>
    <row r="104" spans="1:3" ht="12.75">
      <c r="A104" s="125"/>
      <c r="B104" s="25" t="s">
        <v>2</v>
      </c>
      <c r="C104" s="34"/>
    </row>
    <row r="105" spans="1:3" ht="12.75">
      <c r="A105" s="125"/>
      <c r="B105" s="25" t="s">
        <v>3</v>
      </c>
      <c r="C105" s="34"/>
    </row>
    <row r="106" spans="1:3" ht="24">
      <c r="A106" s="125"/>
      <c r="B106" s="25" t="s">
        <v>4</v>
      </c>
      <c r="C106" s="34"/>
    </row>
    <row r="107" spans="1:3" ht="24">
      <c r="A107" s="125"/>
      <c r="B107" s="25" t="s">
        <v>6</v>
      </c>
      <c r="C107" s="34"/>
    </row>
    <row r="108" spans="1:3" ht="24.75" thickBot="1">
      <c r="A108" s="385"/>
      <c r="B108" s="386" t="s">
        <v>5</v>
      </c>
      <c r="C108" s="387"/>
    </row>
    <row r="109" spans="1:3" ht="24">
      <c r="A109" s="146"/>
      <c r="B109" s="407" t="s">
        <v>1116</v>
      </c>
      <c r="C109" s="430"/>
    </row>
    <row r="110" spans="1:3" ht="12.75">
      <c r="A110" s="125"/>
      <c r="B110" s="25" t="s">
        <v>7</v>
      </c>
      <c r="C110" s="34"/>
    </row>
    <row r="111" spans="1:3" ht="24">
      <c r="A111" s="125"/>
      <c r="B111" s="25" t="s">
        <v>8</v>
      </c>
      <c r="C111" s="34"/>
    </row>
    <row r="112" spans="1:3" ht="24.75" customHeight="1">
      <c r="A112" s="125"/>
      <c r="B112" s="25" t="s">
        <v>9</v>
      </c>
      <c r="C112" s="34"/>
    </row>
    <row r="113" spans="1:3" ht="12.75">
      <c r="A113" s="125"/>
      <c r="B113" s="25" t="s">
        <v>10</v>
      </c>
      <c r="C113" s="34"/>
    </row>
    <row r="114" spans="1:3" ht="13.5" thickBot="1">
      <c r="A114" s="385"/>
      <c r="B114" s="386" t="s">
        <v>11</v>
      </c>
      <c r="C114" s="387"/>
    </row>
    <row r="115" spans="1:3" ht="12.75">
      <c r="A115" s="146"/>
      <c r="B115" s="407" t="s">
        <v>1117</v>
      </c>
      <c r="C115" s="430"/>
    </row>
    <row r="116" spans="1:3" ht="24">
      <c r="A116" s="125"/>
      <c r="B116" s="25" t="s">
        <v>12</v>
      </c>
      <c r="C116" s="34"/>
    </row>
    <row r="117" spans="1:3" ht="24">
      <c r="A117" s="125"/>
      <c r="B117" s="25" t="s">
        <v>13</v>
      </c>
      <c r="C117" s="34"/>
    </row>
    <row r="118" spans="1:3" ht="25.5" customHeight="1">
      <c r="A118" s="125"/>
      <c r="B118" s="25" t="s">
        <v>245</v>
      </c>
      <c r="C118" s="34"/>
    </row>
    <row r="119" spans="1:3" ht="24">
      <c r="A119" s="125"/>
      <c r="B119" s="25" t="s">
        <v>673</v>
      </c>
      <c r="C119" s="34"/>
    </row>
    <row r="120" spans="1:3" ht="24.75" thickBot="1">
      <c r="A120" s="385"/>
      <c r="B120" s="386" t="s">
        <v>874</v>
      </c>
      <c r="C120" s="387"/>
    </row>
    <row r="121" spans="1:3" ht="33" customHeight="1">
      <c r="A121" s="126"/>
      <c r="B121" s="431" t="s">
        <v>880</v>
      </c>
      <c r="C121" s="432"/>
    </row>
    <row r="122" spans="1:3" ht="12.75">
      <c r="A122" s="2"/>
      <c r="B122" s="21" t="s">
        <v>678</v>
      </c>
      <c r="C122" s="35"/>
    </row>
    <row r="123" spans="1:3" ht="12.75">
      <c r="A123" s="15"/>
      <c r="B123" s="21" t="s">
        <v>679</v>
      </c>
      <c r="C123" s="35"/>
    </row>
    <row r="124" spans="1:3" ht="24">
      <c r="A124" s="2"/>
      <c r="B124" s="21" t="s">
        <v>859</v>
      </c>
      <c r="C124" s="35"/>
    </row>
    <row r="125" spans="1:3" ht="12.75">
      <c r="A125" s="2"/>
      <c r="B125" s="26" t="s">
        <v>1118</v>
      </c>
      <c r="C125" s="100" t="b">
        <f>IF(C124&gt;=5,0,IF(C124&gt;3,1,IF(C124&gt;=2,2,IF(C124&gt;=1,3,IF(C124&gt;0,4)))))</f>
        <v>0</v>
      </c>
    </row>
    <row r="126" spans="1:3" ht="15" customHeight="1">
      <c r="A126" s="15"/>
      <c r="B126" s="21" t="s">
        <v>451</v>
      </c>
      <c r="C126" s="35"/>
    </row>
    <row r="127" spans="1:3" ht="12.75">
      <c r="A127" s="15"/>
      <c r="B127" s="21"/>
      <c r="C127" s="34"/>
    </row>
    <row r="128" spans="1:3" ht="12.75">
      <c r="A128" s="15"/>
      <c r="B128" s="30" t="s">
        <v>298</v>
      </c>
      <c r="C128" s="34"/>
    </row>
    <row r="129" spans="1:3" ht="12.75">
      <c r="A129" s="15"/>
      <c r="B129" s="21" t="s">
        <v>246</v>
      </c>
      <c r="C129" s="35"/>
    </row>
    <row r="130" spans="1:3" ht="12.75">
      <c r="A130" s="15"/>
      <c r="B130" s="21" t="s">
        <v>327</v>
      </c>
      <c r="C130" s="35"/>
    </row>
    <row r="131" spans="1:3" ht="12.75">
      <c r="A131" s="15"/>
      <c r="B131" s="21" t="s">
        <v>680</v>
      </c>
      <c r="C131" s="54"/>
    </row>
    <row r="132" spans="1:3" ht="12.75">
      <c r="A132" s="15"/>
      <c r="B132" s="21" t="s">
        <v>849</v>
      </c>
      <c r="C132" s="35"/>
    </row>
    <row r="133" spans="1:3" ht="12.75">
      <c r="A133" s="15"/>
      <c r="B133" s="21" t="s">
        <v>1043</v>
      </c>
      <c r="C133" s="35"/>
    </row>
    <row r="134" spans="1:3" ht="12.75">
      <c r="A134" s="15"/>
      <c r="B134" s="21" t="s">
        <v>1044</v>
      </c>
      <c r="C134" s="35"/>
    </row>
    <row r="135" spans="1:3" ht="13.5" customHeight="1">
      <c r="A135" s="15"/>
      <c r="B135" s="21" t="s">
        <v>247</v>
      </c>
      <c r="C135" s="35"/>
    </row>
    <row r="136" spans="1:3" ht="12.75">
      <c r="A136" s="15"/>
      <c r="B136" s="21" t="s">
        <v>329</v>
      </c>
      <c r="C136" s="35"/>
    </row>
    <row r="137" spans="1:3" ht="12.75">
      <c r="A137" s="15"/>
      <c r="B137" s="21" t="s">
        <v>330</v>
      </c>
      <c r="C137" s="35"/>
    </row>
    <row r="138" spans="1:3" ht="12.75">
      <c r="A138" s="15"/>
      <c r="B138" s="21" t="s">
        <v>331</v>
      </c>
      <c r="C138" s="35"/>
    </row>
    <row r="139" spans="1:3" ht="12.75">
      <c r="A139" s="15"/>
      <c r="B139" s="21" t="s">
        <v>928</v>
      </c>
      <c r="C139" s="35"/>
    </row>
    <row r="140" spans="1:3" ht="12.75">
      <c r="A140" s="15"/>
      <c r="B140" s="21" t="s">
        <v>929</v>
      </c>
      <c r="C140" s="35"/>
    </row>
    <row r="141" spans="1:3" ht="12.75">
      <c r="A141" s="15"/>
      <c r="B141" s="21"/>
      <c r="C141" s="34"/>
    </row>
    <row r="142" spans="1:3" ht="12.75">
      <c r="A142" s="15"/>
      <c r="B142" s="29" t="s">
        <v>299</v>
      </c>
      <c r="C142" s="34"/>
    </row>
    <row r="143" spans="1:3" ht="17.25" customHeight="1">
      <c r="A143" s="135"/>
      <c r="B143" s="132" t="s">
        <v>682</v>
      </c>
      <c r="C143" s="34"/>
    </row>
    <row r="144" spans="1:3" ht="12.75">
      <c r="A144" s="129"/>
      <c r="B144" s="20" t="s">
        <v>683</v>
      </c>
      <c r="C144" s="35"/>
    </row>
    <row r="145" spans="1:3" ht="12.75">
      <c r="A145" s="129"/>
      <c r="B145" s="20" t="s">
        <v>684</v>
      </c>
      <c r="C145" s="35"/>
    </row>
    <row r="146" spans="1:3" ht="12.75">
      <c r="A146" s="129"/>
      <c r="B146" s="20" t="s">
        <v>426</v>
      </c>
      <c r="C146" s="35"/>
    </row>
    <row r="147" spans="1:3" ht="12.75">
      <c r="A147" s="129"/>
      <c r="B147" s="20" t="s">
        <v>427</v>
      </c>
      <c r="C147" s="35"/>
    </row>
    <row r="148" spans="1:3" ht="12.75">
      <c r="A148" s="129"/>
      <c r="B148" s="20" t="s">
        <v>428</v>
      </c>
      <c r="C148" s="35"/>
    </row>
    <row r="149" spans="1:3" ht="12.75">
      <c r="A149" s="129"/>
      <c r="B149" s="411" t="s">
        <v>429</v>
      </c>
      <c r="C149" s="35"/>
    </row>
    <row r="150" spans="1:3" ht="13.5" thickBot="1">
      <c r="A150" s="445"/>
      <c r="B150" s="444" t="s">
        <v>925</v>
      </c>
      <c r="C150" s="414">
        <f>SUM(C144:C149)</f>
        <v>0</v>
      </c>
    </row>
    <row r="151" spans="1:3" ht="12.75">
      <c r="A151" s="162"/>
      <c r="B151" s="407" t="s">
        <v>430</v>
      </c>
      <c r="C151" s="402"/>
    </row>
    <row r="152" spans="1:3" ht="12.75">
      <c r="A152" s="129"/>
      <c r="B152" s="20" t="s">
        <v>683</v>
      </c>
      <c r="C152" s="35"/>
    </row>
    <row r="153" spans="1:3" ht="12.75">
      <c r="A153" s="129"/>
      <c r="B153" s="20" t="s">
        <v>684</v>
      </c>
      <c r="C153" s="35"/>
    </row>
    <row r="154" spans="1:3" ht="12.75">
      <c r="A154" s="129"/>
      <c r="B154" s="20" t="s">
        <v>426</v>
      </c>
      <c r="C154" s="35"/>
    </row>
    <row r="155" spans="1:3" ht="12.75">
      <c r="A155" s="129"/>
      <c r="B155" s="20" t="s">
        <v>427</v>
      </c>
      <c r="C155" s="35"/>
    </row>
    <row r="156" spans="1:3" ht="12.75">
      <c r="A156" s="129"/>
      <c r="B156" s="20" t="s">
        <v>428</v>
      </c>
      <c r="C156" s="35"/>
    </row>
    <row r="157" spans="1:3" ht="12.75">
      <c r="A157" s="134"/>
      <c r="B157" s="20" t="s">
        <v>429</v>
      </c>
      <c r="C157" s="35"/>
    </row>
    <row r="158" spans="1:3" ht="13.5" thickBot="1">
      <c r="A158" s="445"/>
      <c r="B158" s="444" t="s">
        <v>925</v>
      </c>
      <c r="C158" s="414">
        <f>SUM(C152:C157)</f>
        <v>0</v>
      </c>
    </row>
    <row r="159" spans="1:3" ht="12.75">
      <c r="A159" s="2"/>
      <c r="B159" s="29" t="s">
        <v>300</v>
      </c>
      <c r="C159" s="34"/>
    </row>
    <row r="160" spans="1:3" ht="12.75">
      <c r="A160" s="2"/>
      <c r="B160" s="21" t="s">
        <v>432</v>
      </c>
      <c r="C160" s="35"/>
    </row>
    <row r="161" spans="1:3" ht="12.75">
      <c r="A161" s="2"/>
      <c r="B161" s="21" t="s">
        <v>433</v>
      </c>
      <c r="C161" s="35"/>
    </row>
    <row r="162" spans="1:3" ht="12.75">
      <c r="A162" s="2"/>
      <c r="B162" s="21" t="s">
        <v>434</v>
      </c>
      <c r="C162" s="35"/>
    </row>
    <row r="163" spans="1:3" ht="12.75">
      <c r="A163" s="2"/>
      <c r="B163" s="21" t="s">
        <v>435</v>
      </c>
      <c r="C163" s="35"/>
    </row>
    <row r="164" spans="1:3" ht="12.75">
      <c r="A164" s="2"/>
      <c r="B164" s="21" t="s">
        <v>436</v>
      </c>
      <c r="C164" s="35"/>
    </row>
    <row r="165" spans="1:3" ht="12.75">
      <c r="A165" s="2"/>
      <c r="B165" s="21" t="s">
        <v>1063</v>
      </c>
      <c r="C165" s="35"/>
    </row>
    <row r="166" spans="1:3" ht="12.75">
      <c r="A166" s="2"/>
      <c r="B166" s="21"/>
      <c r="C166" s="34"/>
    </row>
    <row r="167" spans="1:3" ht="12.75">
      <c r="A167" s="15"/>
      <c r="B167" s="29" t="s">
        <v>1156</v>
      </c>
      <c r="C167" s="34"/>
    </row>
    <row r="168" spans="1:3" ht="36">
      <c r="A168" s="135"/>
      <c r="B168" s="132" t="s">
        <v>256</v>
      </c>
      <c r="C168" s="35"/>
    </row>
    <row r="169" spans="1:3" ht="36">
      <c r="A169" s="129"/>
      <c r="B169" s="25" t="s">
        <v>64</v>
      </c>
      <c r="C169" s="34"/>
    </row>
    <row r="170" spans="1:3" ht="24">
      <c r="A170" s="129"/>
      <c r="B170" s="25" t="s">
        <v>65</v>
      </c>
      <c r="C170" s="34"/>
    </row>
    <row r="171" spans="1:3" ht="24">
      <c r="A171" s="129"/>
      <c r="B171" s="25" t="s">
        <v>66</v>
      </c>
      <c r="C171" s="34"/>
    </row>
    <row r="172" spans="1:3" ht="24">
      <c r="A172" s="129"/>
      <c r="B172" s="25" t="s">
        <v>67</v>
      </c>
      <c r="C172" s="34"/>
    </row>
    <row r="173" spans="1:3" ht="24.75" thickBot="1">
      <c r="A173" s="403"/>
      <c r="B173" s="386" t="s">
        <v>842</v>
      </c>
      <c r="C173" s="387"/>
    </row>
    <row r="174" spans="1:3" ht="12.75">
      <c r="A174" s="162"/>
      <c r="B174" s="407" t="s">
        <v>926</v>
      </c>
      <c r="C174" s="384"/>
    </row>
    <row r="175" spans="1:3" ht="24">
      <c r="A175" s="129"/>
      <c r="B175" s="25" t="s">
        <v>843</v>
      </c>
      <c r="C175" s="34"/>
    </row>
    <row r="176" spans="1:3" ht="24">
      <c r="A176" s="129"/>
      <c r="B176" s="25" t="s">
        <v>844</v>
      </c>
      <c r="C176" s="34"/>
    </row>
    <row r="177" spans="1:3" ht="24">
      <c r="A177" s="129"/>
      <c r="B177" s="25" t="s">
        <v>845</v>
      </c>
      <c r="C177" s="34"/>
    </row>
    <row r="178" spans="1:3" ht="24">
      <c r="A178" s="129"/>
      <c r="B178" s="25" t="s">
        <v>846</v>
      </c>
      <c r="C178" s="34"/>
    </row>
    <row r="179" spans="1:3" ht="24.75" thickBot="1">
      <c r="A179" s="403"/>
      <c r="B179" s="386" t="s">
        <v>847</v>
      </c>
      <c r="C179" s="387"/>
    </row>
    <row r="180" spans="1:3" ht="12.75">
      <c r="A180" s="162"/>
      <c r="B180" s="407" t="s">
        <v>1112</v>
      </c>
      <c r="C180" s="384"/>
    </row>
    <row r="181" spans="1:3" ht="12.75">
      <c r="A181" s="129"/>
      <c r="B181" s="25" t="s">
        <v>60</v>
      </c>
      <c r="C181" s="34"/>
    </row>
    <row r="182" spans="1:3" ht="12.75">
      <c r="A182" s="129"/>
      <c r="B182" s="25" t="s">
        <v>61</v>
      </c>
      <c r="C182" s="34"/>
    </row>
    <row r="183" spans="1:3" ht="13.5" thickBot="1">
      <c r="A183" s="403"/>
      <c r="B183" s="386" t="s">
        <v>62</v>
      </c>
      <c r="C183" s="387"/>
    </row>
    <row r="184" spans="1:3" ht="12.75">
      <c r="A184" s="134"/>
      <c r="B184" s="410"/>
      <c r="C184" s="402"/>
    </row>
    <row r="185" spans="2:3" ht="12.75">
      <c r="B185" s="51" t="s">
        <v>1157</v>
      </c>
      <c r="C185" s="34"/>
    </row>
    <row r="186" spans="1:3" ht="12.75">
      <c r="A186" s="135"/>
      <c r="B186" s="132" t="s">
        <v>1119</v>
      </c>
      <c r="C186" s="35"/>
    </row>
    <row r="187" spans="1:3" ht="12.75">
      <c r="A187" s="129"/>
      <c r="B187" s="25" t="s">
        <v>68</v>
      </c>
      <c r="C187" s="34"/>
    </row>
    <row r="188" spans="1:3" ht="12.75">
      <c r="A188" s="129"/>
      <c r="B188" s="25" t="s">
        <v>70</v>
      </c>
      <c r="C188" s="34"/>
    </row>
    <row r="189" spans="1:3" ht="13.5" thickBot="1">
      <c r="A189" s="403"/>
      <c r="B189" s="386" t="s">
        <v>69</v>
      </c>
      <c r="C189" s="387"/>
    </row>
    <row r="190" spans="1:3" ht="12.75">
      <c r="A190" s="162"/>
      <c r="B190" s="407" t="s">
        <v>1120</v>
      </c>
      <c r="C190" s="384"/>
    </row>
    <row r="191" spans="1:3" ht="12.75">
      <c r="A191" s="129"/>
      <c r="B191" s="25" t="s">
        <v>875</v>
      </c>
      <c r="C191" s="34"/>
    </row>
    <row r="192" spans="1:3" ht="12.75">
      <c r="A192" s="129"/>
      <c r="B192" s="25" t="s">
        <v>71</v>
      </c>
      <c r="C192" s="34"/>
    </row>
    <row r="193" spans="1:3" ht="13.5" thickBot="1">
      <c r="A193" s="403"/>
      <c r="B193" s="386" t="s">
        <v>213</v>
      </c>
      <c r="C193" s="387"/>
    </row>
    <row r="194" spans="1:3" ht="12.75">
      <c r="A194" s="162"/>
      <c r="B194" s="407" t="s">
        <v>1121</v>
      </c>
      <c r="C194" s="384"/>
    </row>
    <row r="195" spans="1:3" ht="12.75">
      <c r="A195" s="129"/>
      <c r="B195" s="25" t="s">
        <v>875</v>
      </c>
      <c r="C195" s="34"/>
    </row>
    <row r="196" spans="1:3" ht="12.75">
      <c r="A196" s="129"/>
      <c r="B196" s="25" t="s">
        <v>72</v>
      </c>
      <c r="C196" s="34"/>
    </row>
    <row r="197" spans="1:3" ht="13.5" thickBot="1">
      <c r="A197" s="403"/>
      <c r="B197" s="386" t="s">
        <v>167</v>
      </c>
      <c r="C197" s="387"/>
    </row>
    <row r="198" spans="1:3" ht="12.75">
      <c r="A198" s="162"/>
      <c r="B198" s="407" t="s">
        <v>1122</v>
      </c>
      <c r="C198" s="384"/>
    </row>
    <row r="199" spans="1:3" ht="12.75">
      <c r="A199" s="129"/>
      <c r="B199" s="25" t="s">
        <v>875</v>
      </c>
      <c r="C199" s="34"/>
    </row>
    <row r="200" spans="1:3" ht="12.75">
      <c r="A200" s="129"/>
      <c r="B200" s="25" t="s">
        <v>73</v>
      </c>
      <c r="C200" s="34"/>
    </row>
    <row r="201" spans="1:3" ht="13.5" thickBot="1">
      <c r="A201" s="403"/>
      <c r="B201" s="386" t="s">
        <v>212</v>
      </c>
      <c r="C201" s="387"/>
    </row>
    <row r="202" spans="1:3" ht="12.75">
      <c r="A202" s="134"/>
      <c r="B202" s="462" t="s">
        <v>452</v>
      </c>
      <c r="C202" s="402"/>
    </row>
    <row r="203" spans="1:3" ht="36">
      <c r="A203" s="137"/>
      <c r="B203" s="132" t="s">
        <v>405</v>
      </c>
      <c r="C203" s="35"/>
    </row>
    <row r="204" spans="2:3" ht="24">
      <c r="B204" s="25" t="s">
        <v>1124</v>
      </c>
      <c r="C204" s="34"/>
    </row>
    <row r="205" spans="2:3" ht="12.75">
      <c r="B205" s="25" t="s">
        <v>1125</v>
      </c>
      <c r="C205" s="34"/>
    </row>
    <row r="206" spans="2:3" ht="12.75">
      <c r="B206" s="25" t="s">
        <v>1126</v>
      </c>
      <c r="C206" s="34"/>
    </row>
    <row r="207" spans="1:3" ht="13.5" thickBot="1">
      <c r="A207" s="389"/>
      <c r="B207" s="386" t="s">
        <v>1127</v>
      </c>
      <c r="C207" s="387"/>
    </row>
    <row r="208" spans="1:3" ht="24">
      <c r="A208" s="388"/>
      <c r="B208" s="407" t="s">
        <v>1130</v>
      </c>
      <c r="C208" s="384"/>
    </row>
    <row r="209" spans="2:3" ht="24">
      <c r="B209" s="25" t="s">
        <v>1128</v>
      </c>
      <c r="C209" s="34"/>
    </row>
    <row r="210" spans="2:3" ht="24">
      <c r="B210" s="25" t="s">
        <v>1131</v>
      </c>
      <c r="C210" s="34"/>
    </row>
    <row r="211" spans="2:3" ht="24">
      <c r="B211" s="25" t="s">
        <v>372</v>
      </c>
      <c r="C211" s="34"/>
    </row>
    <row r="212" spans="1:3" ht="24.75" thickBot="1">
      <c r="A212" s="389"/>
      <c r="B212" s="386" t="s">
        <v>373</v>
      </c>
      <c r="C212" s="387"/>
    </row>
    <row r="213" spans="1:3" ht="12.75">
      <c r="A213" s="388"/>
      <c r="B213" s="407" t="s">
        <v>374</v>
      </c>
      <c r="C213" s="384"/>
    </row>
    <row r="214" spans="2:3" ht="12.75">
      <c r="B214" s="25" t="s">
        <v>375</v>
      </c>
      <c r="C214" s="34"/>
    </row>
    <row r="215" spans="2:3" ht="12.75">
      <c r="B215" s="25" t="s">
        <v>464</v>
      </c>
      <c r="C215" s="34"/>
    </row>
    <row r="216" spans="2:3" ht="12.75">
      <c r="B216" s="25" t="s">
        <v>465</v>
      </c>
      <c r="C216" s="34"/>
    </row>
    <row r="217" spans="1:3" ht="13.5" thickBot="1">
      <c r="A217" s="389"/>
      <c r="B217" s="386" t="s">
        <v>466</v>
      </c>
      <c r="C217" s="387"/>
    </row>
    <row r="218" spans="1:3" ht="24">
      <c r="A218" s="388"/>
      <c r="B218" s="407" t="s">
        <v>716</v>
      </c>
      <c r="C218" s="384"/>
    </row>
    <row r="219" spans="2:3" ht="12.75">
      <c r="B219" s="25" t="s">
        <v>467</v>
      </c>
      <c r="C219" s="34"/>
    </row>
    <row r="220" spans="2:3" ht="12.75">
      <c r="B220" s="25" t="s">
        <v>468</v>
      </c>
      <c r="C220" s="34"/>
    </row>
    <row r="221" spans="2:3" ht="12.75">
      <c r="B221" s="25" t="s">
        <v>717</v>
      </c>
      <c r="C221" s="34"/>
    </row>
    <row r="222" spans="1:3" ht="13.5" thickBot="1">
      <c r="A222" s="389"/>
      <c r="B222" s="386" t="s">
        <v>718</v>
      </c>
      <c r="C222" s="387"/>
    </row>
    <row r="223" spans="2:3" ht="12.75">
      <c r="B223" s="463"/>
      <c r="C223" s="402"/>
    </row>
    <row r="224" spans="2:3" ht="12.75">
      <c r="B224" s="40" t="s">
        <v>1158</v>
      </c>
      <c r="C224" s="34"/>
    </row>
    <row r="225" spans="1:3" ht="93" customHeight="1">
      <c r="A225" s="751" t="s">
        <v>989</v>
      </c>
      <c r="B225" s="752"/>
      <c r="C225" s="753"/>
    </row>
    <row r="226" spans="1:3" ht="12">
      <c r="A226" s="24" t="s">
        <v>1159</v>
      </c>
      <c r="C226" s="34"/>
    </row>
    <row r="227" spans="1:3" ht="12.75">
      <c r="A227" s="128"/>
      <c r="B227" s="132" t="s">
        <v>261</v>
      </c>
      <c r="C227" s="78"/>
    </row>
    <row r="228" spans="1:3" ht="24">
      <c r="A228" s="125"/>
      <c r="B228" s="25" t="s">
        <v>886</v>
      </c>
      <c r="C228" s="34"/>
    </row>
    <row r="229" spans="1:3" ht="24">
      <c r="A229" s="125"/>
      <c r="B229" s="25" t="s">
        <v>887</v>
      </c>
      <c r="C229" s="34"/>
    </row>
    <row r="230" spans="1:3" ht="12.75">
      <c r="A230" s="125"/>
      <c r="B230" s="25" t="s">
        <v>888</v>
      </c>
      <c r="C230" s="34"/>
    </row>
    <row r="231" spans="1:3" ht="12.75">
      <c r="A231" s="125"/>
      <c r="B231" s="25" t="s">
        <v>889</v>
      </c>
      <c r="C231" s="34"/>
    </row>
    <row r="232" spans="1:3" ht="24.75" thickBot="1">
      <c r="A232" s="385"/>
      <c r="B232" s="386" t="s">
        <v>1336</v>
      </c>
      <c r="C232" s="387"/>
    </row>
    <row r="233" spans="1:3" ht="12.75">
      <c r="A233" s="146"/>
      <c r="B233" s="407" t="s">
        <v>260</v>
      </c>
      <c r="C233" s="464"/>
    </row>
    <row r="234" spans="1:3" ht="24">
      <c r="A234" s="125"/>
      <c r="B234" s="25" t="s">
        <v>251</v>
      </c>
      <c r="C234" s="34"/>
    </row>
    <row r="235" spans="1:3" ht="24">
      <c r="A235" s="125"/>
      <c r="B235" s="25" t="s">
        <v>252</v>
      </c>
      <c r="C235" s="34"/>
    </row>
    <row r="236" spans="1:3" ht="24">
      <c r="A236" s="125"/>
      <c r="B236" s="25" t="s">
        <v>1337</v>
      </c>
      <c r="C236" s="34"/>
    </row>
    <row r="237" spans="1:3" ht="24">
      <c r="A237" s="125"/>
      <c r="B237" s="25" t="s">
        <v>258</v>
      </c>
      <c r="C237" s="34"/>
    </row>
    <row r="238" spans="1:3" ht="24.75" thickBot="1">
      <c r="A238" s="385"/>
      <c r="B238" s="386" t="s">
        <v>259</v>
      </c>
      <c r="C238" s="387"/>
    </row>
    <row r="239" spans="1:3" ht="12.75">
      <c r="A239" s="146"/>
      <c r="B239" s="407" t="s">
        <v>262</v>
      </c>
      <c r="C239" s="464"/>
    </row>
    <row r="240" spans="1:3" ht="12.75">
      <c r="A240" s="125"/>
      <c r="B240" s="25" t="s">
        <v>263</v>
      </c>
      <c r="C240" s="34"/>
    </row>
    <row r="241" spans="1:3" ht="12.75">
      <c r="A241" s="125"/>
      <c r="B241" s="25" t="s">
        <v>265</v>
      </c>
      <c r="C241" s="34"/>
    </row>
    <row r="242" spans="1:3" ht="12.75">
      <c r="A242" s="125"/>
      <c r="B242" s="25" t="s">
        <v>264</v>
      </c>
      <c r="C242" s="34"/>
    </row>
    <row r="243" spans="1:3" ht="12.75">
      <c r="A243" s="125"/>
      <c r="B243" s="25" t="s">
        <v>266</v>
      </c>
      <c r="C243" s="34"/>
    </row>
    <row r="244" spans="1:3" ht="13.5" thickBot="1">
      <c r="A244" s="385"/>
      <c r="B244" s="386" t="s">
        <v>267</v>
      </c>
      <c r="C244" s="387"/>
    </row>
    <row r="245" spans="1:3" ht="12.75">
      <c r="A245" s="146"/>
      <c r="B245" s="407" t="s">
        <v>253</v>
      </c>
      <c r="C245" s="464"/>
    </row>
    <row r="246" spans="1:3" ht="12.75">
      <c r="A246" s="125"/>
      <c r="B246" s="25" t="s">
        <v>268</v>
      </c>
      <c r="C246" s="34"/>
    </row>
    <row r="247" spans="1:3" ht="12.75">
      <c r="A247" s="125"/>
      <c r="B247" s="25" t="s">
        <v>269</v>
      </c>
      <c r="C247" s="34"/>
    </row>
    <row r="248" spans="1:3" ht="12.75">
      <c r="A248" s="125"/>
      <c r="B248" s="25" t="s">
        <v>270</v>
      </c>
      <c r="C248" s="34"/>
    </row>
    <row r="249" spans="1:3" ht="12.75">
      <c r="A249" s="125"/>
      <c r="B249" s="25" t="s">
        <v>271</v>
      </c>
      <c r="C249" s="34"/>
    </row>
    <row r="250" spans="1:3" ht="13.5" thickBot="1">
      <c r="A250" s="385"/>
      <c r="B250" s="470" t="s">
        <v>1090</v>
      </c>
      <c r="C250" s="387"/>
    </row>
  </sheetData>
  <mergeCells count="1">
    <mergeCell ref="A225:C225"/>
  </mergeCells>
  <printOptions headings="1" horizontalCentered="1" verticalCentered="1"/>
  <pageMargins left="0.75" right="0.75" top="1" bottom="1" header="0.5" footer="0.5"/>
  <pageSetup fitToHeight="20" fitToWidth="1" horizontalDpi="300" verticalDpi="300" orientation="portrait" scale="80" r:id="rId1"/>
  <headerFooter alignWithMargins="0">
    <oddHeader>&amp;C&amp;F</oddHeader>
    <oddFooter>&amp;LFAO/WB/Cal Poly ITRC&amp;C&amp;A&amp;RPage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134"/>
  <sheetViews>
    <sheetView tabSelected="1" zoomScale="75" zoomScaleNormal="75" workbookViewId="0" topLeftCell="A1">
      <selection activeCell="D1" sqref="D1"/>
    </sheetView>
  </sheetViews>
  <sheetFormatPr defaultColWidth="9.140625" defaultRowHeight="12.75"/>
  <cols>
    <col min="1" max="1" width="5.00390625" style="0" customWidth="1"/>
    <col min="2" max="2" width="88.28125" style="0" customWidth="1"/>
    <col min="3" max="3" width="13.140625" style="62" customWidth="1"/>
  </cols>
  <sheetData>
    <row r="1" ht="12.75">
      <c r="D1" t="s">
        <v>585</v>
      </c>
    </row>
    <row r="2" ht="12.75">
      <c r="A2" t="str">
        <f>'5. Project Office Questions'!A2</f>
        <v>Project Name:</v>
      </c>
    </row>
    <row r="3" ht="12.75">
      <c r="B3" s="651">
        <f>'5. Project Office Questions'!B3</f>
        <v>0</v>
      </c>
    </row>
    <row r="4" ht="12.75">
      <c r="A4" t="str">
        <f>'5. Project Office Questions'!A4</f>
        <v>Date: </v>
      </c>
    </row>
    <row r="5" ht="12.75">
      <c r="B5" s="650">
        <f>'5. Project Office Questions'!B5</f>
        <v>0</v>
      </c>
    </row>
    <row r="6" spans="1:3" ht="12.75">
      <c r="A6" s="15" t="s">
        <v>198</v>
      </c>
      <c r="B6" s="19"/>
      <c r="C6" s="34"/>
    </row>
    <row r="7" spans="1:3" ht="12.75">
      <c r="A7" s="15"/>
      <c r="B7" s="19" t="s">
        <v>553</v>
      </c>
      <c r="C7" s="35"/>
    </row>
    <row r="8" spans="1:3" ht="12.75">
      <c r="A8" s="15"/>
      <c r="B8" s="19" t="s">
        <v>554</v>
      </c>
      <c r="C8" s="46"/>
    </row>
    <row r="9" spans="1:3" ht="12.75">
      <c r="A9" s="24" t="s">
        <v>454</v>
      </c>
      <c r="B9" s="25"/>
      <c r="C9" s="34"/>
    </row>
    <row r="10" spans="1:3" ht="12.75">
      <c r="A10" s="128"/>
      <c r="B10" s="132" t="s">
        <v>199</v>
      </c>
      <c r="C10" s="78"/>
    </row>
    <row r="11" spans="1:3" ht="12.75">
      <c r="A11" s="125"/>
      <c r="B11" s="25" t="s">
        <v>548</v>
      </c>
      <c r="C11" s="34"/>
    </row>
    <row r="12" spans="1:3" ht="12.75">
      <c r="A12" s="125"/>
      <c r="B12" s="25" t="s">
        <v>549</v>
      </c>
      <c r="C12" s="34"/>
    </row>
    <row r="13" spans="1:3" ht="12.75">
      <c r="A13" s="125"/>
      <c r="B13" s="25" t="s">
        <v>550</v>
      </c>
      <c r="C13" s="34"/>
    </row>
    <row r="14" spans="1:3" ht="12.75">
      <c r="A14" s="125"/>
      <c r="B14" s="25" t="s">
        <v>551</v>
      </c>
      <c r="C14" s="34"/>
    </row>
    <row r="15" spans="1:3" ht="13.5" thickBot="1">
      <c r="A15" s="385"/>
      <c r="B15" s="386" t="s">
        <v>552</v>
      </c>
      <c r="C15" s="387"/>
    </row>
    <row r="16" spans="1:3" ht="12.75">
      <c r="A16" s="146"/>
      <c r="B16" s="407" t="s">
        <v>200</v>
      </c>
      <c r="C16" s="464"/>
    </row>
    <row r="17" spans="1:3" ht="24.75" customHeight="1">
      <c r="A17" s="125"/>
      <c r="B17" s="25" t="s">
        <v>749</v>
      </c>
      <c r="C17" s="34"/>
    </row>
    <row r="18" spans="1:3" ht="12.75">
      <c r="A18" s="125"/>
      <c r="B18" s="25" t="s">
        <v>750</v>
      </c>
      <c r="C18" s="34"/>
    </row>
    <row r="19" spans="1:3" ht="12.75">
      <c r="A19" s="125"/>
      <c r="B19" s="25" t="s">
        <v>751</v>
      </c>
      <c r="C19" s="34"/>
    </row>
    <row r="20" spans="1:3" ht="12.75">
      <c r="A20" s="125"/>
      <c r="B20" s="25" t="s">
        <v>752</v>
      </c>
      <c r="C20" s="34"/>
    </row>
    <row r="21" spans="1:3" ht="13.5" thickBot="1">
      <c r="A21" s="385"/>
      <c r="B21" s="386" t="s">
        <v>753</v>
      </c>
      <c r="C21" s="387"/>
    </row>
    <row r="22" spans="1:3" ht="12.75">
      <c r="A22" s="146"/>
      <c r="B22" s="407" t="s">
        <v>201</v>
      </c>
      <c r="C22" s="464"/>
    </row>
    <row r="23" spans="1:3" ht="24.75" customHeight="1">
      <c r="A23" s="125"/>
      <c r="B23" s="25" t="s">
        <v>755</v>
      </c>
      <c r="C23" s="34"/>
    </row>
    <row r="24" spans="1:3" ht="12.75">
      <c r="A24" s="125"/>
      <c r="B24" s="25" t="s">
        <v>756</v>
      </c>
      <c r="C24" s="34"/>
    </row>
    <row r="25" spans="1:3" ht="12.75">
      <c r="A25" s="125"/>
      <c r="B25" s="25" t="s">
        <v>757</v>
      </c>
      <c r="C25" s="34"/>
    </row>
    <row r="26" spans="1:3" ht="12.75">
      <c r="A26" s="125"/>
      <c r="B26" s="25" t="s">
        <v>758</v>
      </c>
      <c r="C26" s="34"/>
    </row>
    <row r="27" spans="1:3" ht="13.5" thickBot="1">
      <c r="A27" s="385"/>
      <c r="B27" s="386" t="s">
        <v>759</v>
      </c>
      <c r="C27" s="387"/>
    </row>
    <row r="28" spans="1:3" ht="12.75">
      <c r="A28" s="146"/>
      <c r="B28" s="407" t="s">
        <v>202</v>
      </c>
      <c r="C28" s="408"/>
    </row>
    <row r="29" spans="1:3" ht="12.75">
      <c r="A29" s="125"/>
      <c r="B29" s="25" t="s">
        <v>761</v>
      </c>
      <c r="C29" s="34"/>
    </row>
    <row r="30" spans="1:3" ht="24">
      <c r="A30" s="125"/>
      <c r="B30" s="25" t="s">
        <v>762</v>
      </c>
      <c r="C30" s="34"/>
    </row>
    <row r="31" spans="1:3" ht="12.75">
      <c r="A31" s="125"/>
      <c r="B31" s="25" t="s">
        <v>763</v>
      </c>
      <c r="C31" s="34"/>
    </row>
    <row r="32" spans="1:3" ht="12.75">
      <c r="A32" s="125"/>
      <c r="B32" s="25" t="s">
        <v>26</v>
      </c>
      <c r="C32" s="34"/>
    </row>
    <row r="33" spans="1:3" ht="24.75" thickBot="1">
      <c r="A33" s="385"/>
      <c r="B33" s="386" t="s">
        <v>764</v>
      </c>
      <c r="C33" s="387"/>
    </row>
    <row r="34" spans="1:3" ht="12.75">
      <c r="A34" s="146"/>
      <c r="B34" s="407" t="s">
        <v>203</v>
      </c>
      <c r="C34" s="408"/>
    </row>
    <row r="35" spans="1:3" ht="24">
      <c r="A35" s="125"/>
      <c r="B35" s="25" t="s">
        <v>765</v>
      </c>
      <c r="C35" s="34"/>
    </row>
    <row r="36" spans="1:3" ht="24">
      <c r="A36" s="125"/>
      <c r="B36" s="25" t="s">
        <v>766</v>
      </c>
      <c r="C36" s="34"/>
    </row>
    <row r="37" spans="1:3" ht="24">
      <c r="A37" s="125"/>
      <c r="B37" s="25" t="s">
        <v>767</v>
      </c>
      <c r="C37" s="34"/>
    </row>
    <row r="38" spans="1:3" ht="12.75">
      <c r="A38" s="125"/>
      <c r="B38" s="25" t="s">
        <v>768</v>
      </c>
      <c r="C38" s="34"/>
    </row>
    <row r="39" spans="1:3" ht="12.75">
      <c r="A39" s="126"/>
      <c r="B39" s="25" t="s">
        <v>769</v>
      </c>
      <c r="C39" s="34"/>
    </row>
    <row r="40" spans="1:3" ht="12.75">
      <c r="A40" s="2"/>
      <c r="B40" s="25"/>
      <c r="C40" s="34"/>
    </row>
    <row r="41" spans="1:3" ht="12.75">
      <c r="A41" s="15" t="s">
        <v>302</v>
      </c>
      <c r="B41" s="20"/>
      <c r="C41" s="34"/>
    </row>
    <row r="42" spans="1:3" ht="12.75">
      <c r="A42" s="135"/>
      <c r="B42" s="132" t="s">
        <v>343</v>
      </c>
      <c r="C42" s="34"/>
    </row>
    <row r="43" spans="1:3" ht="12.75">
      <c r="A43" s="129"/>
      <c r="B43" s="20" t="s">
        <v>301</v>
      </c>
      <c r="C43" s="35"/>
    </row>
    <row r="44" spans="1:3" ht="12.75">
      <c r="A44" s="129"/>
      <c r="B44" s="20" t="s">
        <v>344</v>
      </c>
      <c r="C44" s="35"/>
    </row>
    <row r="45" spans="1:3" ht="12.75">
      <c r="A45" s="129"/>
      <c r="B45" s="20" t="s">
        <v>345</v>
      </c>
      <c r="C45" s="35"/>
    </row>
    <row r="46" spans="1:3" ht="12.75">
      <c r="A46" s="125"/>
      <c r="B46" s="20" t="s">
        <v>346</v>
      </c>
      <c r="C46" s="35"/>
    </row>
    <row r="47" spans="1:3" ht="12.75">
      <c r="A47" s="126"/>
      <c r="B47" s="20" t="s">
        <v>347</v>
      </c>
      <c r="C47" s="35"/>
    </row>
    <row r="48" spans="1:3" ht="12.75">
      <c r="A48" s="126"/>
      <c r="B48" s="26" t="s">
        <v>1160</v>
      </c>
      <c r="C48" s="103">
        <f>SUM(C43:C47)</f>
        <v>0</v>
      </c>
    </row>
    <row r="49" spans="1:3" ht="27" customHeight="1">
      <c r="A49" s="2"/>
      <c r="B49" s="21" t="s">
        <v>303</v>
      </c>
      <c r="C49" s="35"/>
    </row>
    <row r="50" spans="1:3" ht="12.75">
      <c r="A50" s="135"/>
      <c r="B50" s="132" t="s">
        <v>304</v>
      </c>
      <c r="C50" s="34"/>
    </row>
    <row r="51" spans="1:3" ht="12.75">
      <c r="A51" s="129"/>
      <c r="B51" s="20" t="s">
        <v>305</v>
      </c>
      <c r="C51" s="35"/>
    </row>
    <row r="52" spans="1:3" ht="12.75">
      <c r="A52" s="129"/>
      <c r="B52" s="20" t="s">
        <v>306</v>
      </c>
      <c r="C52" s="35"/>
    </row>
    <row r="53" spans="1:3" ht="12.75">
      <c r="A53" s="129"/>
      <c r="B53" s="20" t="s">
        <v>307</v>
      </c>
      <c r="C53" s="35"/>
    </row>
    <row r="54" spans="1:3" ht="12.75">
      <c r="A54" s="129"/>
      <c r="B54" s="20" t="s">
        <v>308</v>
      </c>
      <c r="C54" s="35"/>
    </row>
    <row r="55" spans="1:3" ht="12.75">
      <c r="A55" s="134"/>
      <c r="B55" s="20" t="s">
        <v>309</v>
      </c>
      <c r="C55" s="35"/>
    </row>
    <row r="56" spans="1:3" ht="12.75">
      <c r="A56" s="134"/>
      <c r="B56" s="26" t="s">
        <v>1160</v>
      </c>
      <c r="C56" s="103">
        <f>SUM(C51:C55)</f>
        <v>0</v>
      </c>
    </row>
    <row r="57" spans="1:3" ht="12.75">
      <c r="A57" s="15"/>
      <c r="B57" s="19" t="s">
        <v>204</v>
      </c>
      <c r="C57" s="35"/>
    </row>
    <row r="58" spans="1:3" ht="12.75">
      <c r="A58" s="15"/>
      <c r="B58" s="19" t="s">
        <v>205</v>
      </c>
      <c r="C58" s="35"/>
    </row>
    <row r="59" spans="1:3" ht="12.75">
      <c r="A59" s="15"/>
      <c r="B59" s="19" t="s">
        <v>206</v>
      </c>
      <c r="C59" s="35"/>
    </row>
    <row r="60" spans="1:3" ht="12.75">
      <c r="A60" s="15"/>
      <c r="B60" s="19"/>
      <c r="C60" s="34"/>
    </row>
    <row r="61" spans="1:3" ht="12.75">
      <c r="A61" s="15"/>
      <c r="B61" s="23" t="s">
        <v>437</v>
      </c>
      <c r="C61" s="34"/>
    </row>
    <row r="62" spans="1:3" ht="12.75">
      <c r="A62" s="135"/>
      <c r="B62" s="127" t="s">
        <v>1161</v>
      </c>
      <c r="C62" s="35"/>
    </row>
    <row r="63" spans="1:3" ht="12.75">
      <c r="A63" s="129"/>
      <c r="B63" s="20" t="s">
        <v>207</v>
      </c>
      <c r="C63" s="35"/>
    </row>
    <row r="64" spans="1:3" ht="12.75">
      <c r="A64" s="134"/>
      <c r="B64" s="20" t="s">
        <v>208</v>
      </c>
      <c r="C64" s="35"/>
    </row>
    <row r="65" spans="1:3" ht="12.75">
      <c r="A65" s="135"/>
      <c r="B65" s="127" t="s">
        <v>1162</v>
      </c>
      <c r="C65" s="35"/>
    </row>
    <row r="66" spans="1:3" ht="12.75">
      <c r="A66" s="129"/>
      <c r="B66" s="20" t="s">
        <v>207</v>
      </c>
      <c r="C66" s="35"/>
    </row>
    <row r="67" spans="1:3" ht="12.75">
      <c r="A67" s="134"/>
      <c r="B67" s="20" t="s">
        <v>208</v>
      </c>
      <c r="C67" s="35"/>
    </row>
    <row r="68" spans="1:3" ht="12.75">
      <c r="A68" s="135"/>
      <c r="B68" s="127" t="s">
        <v>1163</v>
      </c>
      <c r="C68" s="35"/>
    </row>
    <row r="69" spans="1:3" ht="12.75">
      <c r="A69" s="129"/>
      <c r="B69" s="20" t="s">
        <v>207</v>
      </c>
      <c r="C69" s="35"/>
    </row>
    <row r="70" spans="1:3" ht="12.75">
      <c r="A70" s="134"/>
      <c r="B70" s="20" t="s">
        <v>208</v>
      </c>
      <c r="C70" s="35"/>
    </row>
    <row r="71" spans="1:3" ht="12.75">
      <c r="A71" s="135"/>
      <c r="B71" s="132" t="s">
        <v>310</v>
      </c>
      <c r="C71" s="34"/>
    </row>
    <row r="72" spans="1:3" ht="12.75">
      <c r="A72" s="129"/>
      <c r="B72" s="20" t="s">
        <v>1194</v>
      </c>
      <c r="C72" s="35"/>
    </row>
    <row r="73" spans="1:3" ht="12.75">
      <c r="A73" s="129"/>
      <c r="B73" s="20" t="s">
        <v>1008</v>
      </c>
      <c r="C73" s="35"/>
    </row>
    <row r="74" spans="1:3" ht="12.75">
      <c r="A74" s="129"/>
      <c r="B74" s="20" t="s">
        <v>365</v>
      </c>
      <c r="C74" s="35"/>
    </row>
    <row r="75" spans="1:3" ht="12.75">
      <c r="A75" s="129"/>
      <c r="B75" s="20" t="s">
        <v>366</v>
      </c>
      <c r="C75" s="35"/>
    </row>
    <row r="76" spans="1:3" ht="12.75">
      <c r="A76" s="129"/>
      <c r="B76" s="20" t="s">
        <v>367</v>
      </c>
      <c r="C76" s="35"/>
    </row>
    <row r="77" spans="1:3" ht="12.75">
      <c r="A77" s="129"/>
      <c r="B77" s="20" t="s">
        <v>368</v>
      </c>
      <c r="C77" s="35"/>
    </row>
    <row r="78" spans="1:3" ht="12.75">
      <c r="A78" s="134"/>
      <c r="B78" s="20" t="s">
        <v>370</v>
      </c>
      <c r="C78" s="35"/>
    </row>
    <row r="79" spans="1:3" ht="12.75">
      <c r="A79" s="134"/>
      <c r="B79" s="26" t="s">
        <v>1160</v>
      </c>
      <c r="C79" s="103">
        <f>SUM(C72:C78)</f>
        <v>0</v>
      </c>
    </row>
    <row r="80" spans="1:3" ht="12.75">
      <c r="A80" s="15"/>
      <c r="B80" s="21" t="s">
        <v>369</v>
      </c>
      <c r="C80" s="35"/>
    </row>
    <row r="81" spans="1:3" ht="12.75">
      <c r="A81" s="15"/>
      <c r="B81" s="20"/>
      <c r="C81" s="34"/>
    </row>
    <row r="82" spans="1:3" ht="12.75">
      <c r="A82" s="15"/>
      <c r="B82" s="22" t="s">
        <v>438</v>
      </c>
      <c r="C82" s="34"/>
    </row>
    <row r="83" spans="1:3" ht="27" customHeight="1">
      <c r="A83" s="15"/>
      <c r="B83" s="19" t="s">
        <v>1164</v>
      </c>
      <c r="C83" s="35"/>
    </row>
    <row r="84" spans="1:3" ht="12.75">
      <c r="A84" s="2"/>
      <c r="B84" s="25"/>
      <c r="C84" s="34"/>
    </row>
    <row r="85" spans="1:3" ht="12.75">
      <c r="A85" s="24" t="s">
        <v>180</v>
      </c>
      <c r="B85" s="25"/>
      <c r="C85" s="34"/>
    </row>
    <row r="86" spans="1:3" ht="12.75">
      <c r="A86" s="128"/>
      <c r="B86" s="132" t="s">
        <v>181</v>
      </c>
      <c r="C86" s="78"/>
    </row>
    <row r="87" spans="1:3" ht="25.5" customHeight="1">
      <c r="A87" s="125"/>
      <c r="B87" s="25" t="s">
        <v>749</v>
      </c>
      <c r="C87" s="34"/>
    </row>
    <row r="88" spans="1:3" ht="12.75">
      <c r="A88" s="125"/>
      <c r="B88" s="25" t="s">
        <v>750</v>
      </c>
      <c r="C88" s="34"/>
    </row>
    <row r="89" spans="1:3" ht="12.75">
      <c r="A89" s="125"/>
      <c r="B89" s="25" t="s">
        <v>751</v>
      </c>
      <c r="C89" s="34"/>
    </row>
    <row r="90" spans="1:3" ht="12.75">
      <c r="A90" s="125"/>
      <c r="B90" s="25" t="s">
        <v>752</v>
      </c>
      <c r="C90" s="34"/>
    </row>
    <row r="91" spans="1:3" ht="13.5" thickBot="1">
      <c r="A91" s="385"/>
      <c r="B91" s="386" t="s">
        <v>753</v>
      </c>
      <c r="C91" s="387"/>
    </row>
    <row r="92" spans="1:3" ht="12.75">
      <c r="A92" s="146"/>
      <c r="B92" s="407" t="s">
        <v>182</v>
      </c>
      <c r="C92" s="464"/>
    </row>
    <row r="93" spans="1:3" ht="24.75" customHeight="1">
      <c r="A93" s="125"/>
      <c r="B93" s="25" t="s">
        <v>755</v>
      </c>
      <c r="C93" s="34"/>
    </row>
    <row r="94" spans="1:3" ht="12.75">
      <c r="A94" s="125"/>
      <c r="B94" s="25" t="s">
        <v>756</v>
      </c>
      <c r="C94" s="34"/>
    </row>
    <row r="95" spans="1:3" ht="12.75">
      <c r="A95" s="125"/>
      <c r="B95" s="25" t="s">
        <v>757</v>
      </c>
      <c r="C95" s="34"/>
    </row>
    <row r="96" spans="1:3" ht="12.75">
      <c r="A96" s="125"/>
      <c r="B96" s="25" t="s">
        <v>758</v>
      </c>
      <c r="C96" s="34"/>
    </row>
    <row r="97" spans="1:3" ht="13.5" thickBot="1">
      <c r="A97" s="385"/>
      <c r="B97" s="386" t="s">
        <v>759</v>
      </c>
      <c r="C97" s="387"/>
    </row>
    <row r="98" spans="1:3" ht="12.75">
      <c r="A98" s="146"/>
      <c r="B98" s="407" t="s">
        <v>179</v>
      </c>
      <c r="C98" s="408"/>
    </row>
    <row r="99" spans="1:3" ht="12.75">
      <c r="A99" s="125"/>
      <c r="B99" s="25" t="s">
        <v>761</v>
      </c>
      <c r="C99" s="34"/>
    </row>
    <row r="100" spans="1:3" ht="24">
      <c r="A100" s="125"/>
      <c r="B100" s="25" t="s">
        <v>762</v>
      </c>
      <c r="C100" s="34"/>
    </row>
    <row r="101" spans="1:3" ht="12.75">
      <c r="A101" s="125"/>
      <c r="B101" s="25" t="s">
        <v>763</v>
      </c>
      <c r="C101" s="34"/>
    </row>
    <row r="102" spans="1:3" ht="12.75">
      <c r="A102" s="125"/>
      <c r="B102" s="25" t="s">
        <v>26</v>
      </c>
      <c r="C102" s="34"/>
    </row>
    <row r="103" spans="1:3" ht="24.75" thickBot="1">
      <c r="A103" s="385"/>
      <c r="B103" s="386" t="s">
        <v>764</v>
      </c>
      <c r="C103" s="387"/>
    </row>
    <row r="104" spans="1:3" ht="12.75">
      <c r="A104" s="146"/>
      <c r="B104" s="407" t="s">
        <v>183</v>
      </c>
      <c r="C104" s="408"/>
    </row>
    <row r="105" spans="1:3" ht="24">
      <c r="A105" s="125"/>
      <c r="B105" s="25" t="s">
        <v>770</v>
      </c>
      <c r="C105" s="34"/>
    </row>
    <row r="106" spans="1:3" ht="24">
      <c r="A106" s="125"/>
      <c r="B106" s="25" t="s">
        <v>1165</v>
      </c>
      <c r="C106" s="34"/>
    </row>
    <row r="107" spans="1:3" ht="24">
      <c r="A107" s="125"/>
      <c r="B107" s="25" t="s">
        <v>1166</v>
      </c>
      <c r="C107" s="34"/>
    </row>
    <row r="108" spans="1:3" ht="12.75">
      <c r="A108" s="125"/>
      <c r="B108" s="25" t="s">
        <v>768</v>
      </c>
      <c r="C108" s="34"/>
    </row>
    <row r="109" spans="1:3" ht="13.5" thickBot="1">
      <c r="A109" s="385"/>
      <c r="B109" s="386" t="s">
        <v>769</v>
      </c>
      <c r="C109" s="387"/>
    </row>
    <row r="110" spans="1:3" ht="12.75">
      <c r="A110" s="134"/>
      <c r="B110" s="405"/>
      <c r="C110" s="402"/>
    </row>
    <row r="111" spans="1:3" ht="12.75">
      <c r="A111" s="15" t="s">
        <v>439</v>
      </c>
      <c r="B111" s="19"/>
      <c r="C111" s="34"/>
    </row>
    <row r="112" spans="1:3" ht="12.75">
      <c r="A112" s="15"/>
      <c r="B112" s="19" t="s">
        <v>209</v>
      </c>
      <c r="C112" s="35"/>
    </row>
    <row r="113" spans="1:3" ht="25.5" customHeight="1">
      <c r="A113" s="15"/>
      <c r="B113" s="19" t="s">
        <v>210</v>
      </c>
      <c r="C113" s="35"/>
    </row>
    <row r="114" spans="1:3" ht="27" customHeight="1">
      <c r="A114" s="15"/>
      <c r="B114" s="19" t="s">
        <v>211</v>
      </c>
      <c r="C114" s="35"/>
    </row>
    <row r="115" spans="1:3" ht="12.75">
      <c r="A115" s="2"/>
      <c r="B115" s="6"/>
      <c r="C115" s="34"/>
    </row>
    <row r="116" spans="1:3" ht="12.75">
      <c r="A116" s="64" t="s">
        <v>1241</v>
      </c>
      <c r="C116" s="34"/>
    </row>
    <row r="117" spans="1:3" ht="24" customHeight="1">
      <c r="A117" s="149"/>
      <c r="B117" s="65" t="s">
        <v>1167</v>
      </c>
      <c r="C117" s="78"/>
    </row>
    <row r="118" spans="2:3" ht="24.75" customHeight="1">
      <c r="B118" s="25" t="s">
        <v>1301</v>
      </c>
      <c r="C118" s="34"/>
    </row>
    <row r="119" spans="2:3" ht="24">
      <c r="B119" s="25" t="s">
        <v>1231</v>
      </c>
      <c r="C119" s="34"/>
    </row>
    <row r="120" spans="2:3" ht="24">
      <c r="B120" s="25" t="s">
        <v>1232</v>
      </c>
      <c r="C120" s="34"/>
    </row>
    <row r="121" spans="2:3" ht="24">
      <c r="B121" s="25" t="s">
        <v>1233</v>
      </c>
      <c r="C121" s="34"/>
    </row>
    <row r="122" spans="1:3" ht="24.75" thickBot="1">
      <c r="A122" s="475"/>
      <c r="B122" s="386" t="s">
        <v>1234</v>
      </c>
      <c r="C122" s="387"/>
    </row>
    <row r="123" spans="1:3" ht="12.75">
      <c r="A123" s="474"/>
      <c r="B123" s="150" t="s">
        <v>1240</v>
      </c>
      <c r="C123" s="464"/>
    </row>
    <row r="124" spans="2:3" ht="12.75">
      <c r="B124" s="25" t="s">
        <v>1235</v>
      </c>
      <c r="C124" s="34"/>
    </row>
    <row r="125" spans="2:3" ht="12.75">
      <c r="B125" s="25" t="s">
        <v>1236</v>
      </c>
      <c r="C125" s="34"/>
    </row>
    <row r="126" spans="2:3" ht="12.75">
      <c r="B126" s="25" t="s">
        <v>1237</v>
      </c>
      <c r="C126" s="34"/>
    </row>
    <row r="127" spans="2:3" ht="12.75">
      <c r="B127" s="25" t="s">
        <v>1238</v>
      </c>
      <c r="C127" s="34"/>
    </row>
    <row r="128" spans="1:3" ht="13.5" thickBot="1">
      <c r="A128" s="475"/>
      <c r="B128" s="386" t="s">
        <v>1239</v>
      </c>
      <c r="C128" s="387"/>
    </row>
    <row r="129" spans="1:3" ht="12.75">
      <c r="A129" s="474"/>
      <c r="B129" s="150" t="s">
        <v>1242</v>
      </c>
      <c r="C129" s="464"/>
    </row>
    <row r="130" spans="2:3" ht="12.75">
      <c r="B130" s="25" t="s">
        <v>1243</v>
      </c>
      <c r="C130" s="34"/>
    </row>
    <row r="131" spans="2:3" ht="12.75">
      <c r="B131" s="25" t="s">
        <v>1244</v>
      </c>
      <c r="C131" s="34"/>
    </row>
    <row r="132" spans="2:3" ht="12.75">
      <c r="B132" s="25" t="s">
        <v>1245</v>
      </c>
      <c r="C132" s="34"/>
    </row>
    <row r="133" spans="2:3" ht="12.75">
      <c r="B133" s="25" t="s">
        <v>136</v>
      </c>
      <c r="C133" s="34"/>
    </row>
    <row r="134" spans="2:3" ht="12.75">
      <c r="B134" s="25" t="s">
        <v>137</v>
      </c>
      <c r="C134" s="34"/>
    </row>
  </sheetData>
  <printOptions headings="1"/>
  <pageMargins left="0.75" right="0.75" top="1" bottom="1" header="0.5" footer="0.5"/>
  <pageSetup fitToHeight="31" fitToWidth="1" horizontalDpi="600" verticalDpi="600" orientation="portrait" scale="82" r:id="rId1"/>
  <headerFooter alignWithMargins="0">
    <oddHeader>&amp;C&amp;F</oddHeader>
    <oddFooter>&amp;LFAO/WB/Cal Poly ITRC&amp;C&amp;A&amp;RPage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 Poly ITRC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Revised Dec 2009</dc:description>
  <cp:lastModifiedBy>Renault, Daniel (NRLW)</cp:lastModifiedBy>
  <cp:lastPrinted>2002-10-20T17:47:21Z</cp:lastPrinted>
  <dcterms:created xsi:type="dcterms:W3CDTF">1998-09-26T03:08:20Z</dcterms:created>
  <dcterms:modified xsi:type="dcterms:W3CDTF">2009-12-09T10:33:17Z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318131838</vt:i4>
  </property>
  <property fmtid="{D5CDD505-2E9C-101B-9397-08002B2CF9AE}" pid="4" name="_EmailSubje">
    <vt:lpwstr>RAP</vt:lpwstr>
  </property>
  <property fmtid="{D5CDD505-2E9C-101B-9397-08002B2CF9AE}" pid="5" name="_AuthorEma">
    <vt:lpwstr>Daniel.Renault@fao.org</vt:lpwstr>
  </property>
  <property fmtid="{D5CDD505-2E9C-101B-9397-08002B2CF9AE}" pid="6" name="_AuthorEmailDisplayNa">
    <vt:lpwstr>Renault, Daniel (NRLW)</vt:lpwstr>
  </property>
</Properties>
</file>